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9210" windowHeight="5985" firstSheet="1" activeTab="2"/>
  </bookViews>
  <sheets>
    <sheet name="01.06.2016" sheetId="1" r:id="rId1"/>
    <sheet name="01.07.2016" sheetId="2" r:id="rId2"/>
    <sheet name="31.12. 2016" sheetId="3" r:id="rId3"/>
    <sheet name="Лист1" sheetId="4" r:id="rId4"/>
    <sheet name="за янв - окт 2016 -тенд" sheetId="5" r:id="rId5"/>
    <sheet name="реестр общ з назв. 2016" sheetId="6" r:id="rId6"/>
  </sheets>
  <externalReferences>
    <externalReference r:id="rId9"/>
  </externalReferences>
  <definedNames>
    <definedName name="_xlnm.Print_Titles" localSheetId="2">'31.12. 2016'!$6:$7</definedName>
    <definedName name="_xlnm.Print_Titles" localSheetId="4">'за янв - окт 2016 -тенд'!$5:$6</definedName>
    <definedName name="_xlnm.Print_Titles" localSheetId="3">'Лист1'!$4:$4</definedName>
    <definedName name="_xlnm.Print_Area" localSheetId="1">'01.07.2016'!$A$1:$M$169</definedName>
    <definedName name="_xlnm.Print_Area" localSheetId="2">'31.12. 2016'!$A$1:$K$640</definedName>
  </definedNames>
  <calcPr fullCalcOnLoad="1"/>
</workbook>
</file>

<file path=xl/sharedStrings.xml><?xml version="1.0" encoding="utf-8"?>
<sst xmlns="http://schemas.openxmlformats.org/spreadsheetml/2006/main" count="3165" uniqueCount="963">
  <si>
    <t>т/р дренажн споруд Айваз раб</t>
  </si>
  <si>
    <t>т/р дренажн споруд Айваз т/н</t>
  </si>
  <si>
    <t>к/р дор Автомоб ПКД</t>
  </si>
  <si>
    <t>к/р дор Литовченка ПКД</t>
  </si>
  <si>
    <t>к/р дор Литовченка раб аванс</t>
  </si>
  <si>
    <t>т/р конт площ Новост,9</t>
  </si>
  <si>
    <t>т/р конт площ Знаменск,8-А</t>
  </si>
  <si>
    <t>тек рем осв Каштанова  работа</t>
  </si>
  <si>
    <t>тек рем осв Нац.гвард работа  работа</t>
  </si>
  <si>
    <t>авторський нагляд</t>
  </si>
  <si>
    <t>ТОВ "Автобіолюкс"</t>
  </si>
  <si>
    <t>ФОП Королюк М.А</t>
  </si>
  <si>
    <t>ФОП Павлов</t>
  </si>
  <si>
    <t>8.4</t>
  </si>
  <si>
    <r>
      <t xml:space="preserve">вул. </t>
    </r>
    <r>
      <rPr>
        <b/>
        <i/>
        <sz val="9"/>
        <rFont val="Arial"/>
        <family val="2"/>
      </rPr>
      <t>Новобудівна, 9</t>
    </r>
  </si>
  <si>
    <t>8.5</t>
  </si>
  <si>
    <r>
      <t xml:space="preserve">вул. </t>
    </r>
    <r>
      <rPr>
        <b/>
        <i/>
        <sz val="9"/>
        <rFont val="Arial"/>
        <family val="2"/>
      </rPr>
      <t>Знаменська, 8-А</t>
    </r>
  </si>
  <si>
    <t>ФОП Королюк М.А.</t>
  </si>
  <si>
    <t>7.11</t>
  </si>
  <si>
    <r>
      <t>вул.</t>
    </r>
    <r>
      <rPr>
        <b/>
        <i/>
        <sz val="9"/>
        <rFont val="Arial"/>
        <family val="2"/>
      </rPr>
      <t xml:space="preserve"> Каштанова </t>
    </r>
    <r>
      <rPr>
        <i/>
        <sz val="9"/>
        <rFont val="Arial"/>
        <family val="2"/>
      </rPr>
      <t>від пр. Богоявл. до вул. Вільхова</t>
    </r>
  </si>
  <si>
    <t>7.12</t>
  </si>
  <si>
    <t>янв-июнь</t>
  </si>
  <si>
    <t>с 01.01-01.31.05</t>
  </si>
  <si>
    <t>и  ю  н  ь</t>
  </si>
  <si>
    <t>Житлово-експлутаційне господарство</t>
  </si>
  <si>
    <r>
      <t>Забезпечення  ручного прибирання  доріг та тротуарів, закріплених відповідними рішеннями за районом.</t>
    </r>
    <r>
      <rPr>
        <b/>
        <sz val="10"/>
        <color indexed="8"/>
        <rFont val="Arial"/>
        <family val="2"/>
      </rPr>
      <t xml:space="preserve"> Забезпечення ручного прибирання, </t>
    </r>
    <r>
      <rPr>
        <sz val="10"/>
        <color indexed="8"/>
        <rFont val="Arial"/>
        <family val="2"/>
      </rPr>
      <t xml:space="preserve"> у тому числі:</t>
    </r>
  </si>
  <si>
    <r>
      <t>Благоустрій міст, сіл, селищ (загальний)                        Всього,</t>
    </r>
    <r>
      <rPr>
        <sz val="10"/>
        <rFont val="Arial"/>
        <family val="2"/>
      </rPr>
      <t xml:space="preserve"> у тому числі:</t>
    </r>
  </si>
  <si>
    <r>
      <t>Благоустрій міст, сіл, селищ (спеціальний)                        Всього,</t>
    </r>
    <r>
      <rPr>
        <sz val="10"/>
        <rFont val="Arial"/>
        <family val="2"/>
      </rPr>
      <t xml:space="preserve"> у тому числі:</t>
    </r>
  </si>
  <si>
    <t>ІV</t>
  </si>
  <si>
    <t>V</t>
  </si>
  <si>
    <t>VI</t>
  </si>
  <si>
    <t>1.1.</t>
  </si>
  <si>
    <t xml:space="preserve">                                                                                           по адміністрації Корабельного району станом на 01.07.2016р. </t>
  </si>
  <si>
    <t xml:space="preserve"> станом на 01.07.2016р.</t>
  </si>
  <si>
    <t>123</t>
  </si>
  <si>
    <r>
      <t>Покіс газонів</t>
    </r>
    <r>
      <rPr>
        <sz val="10"/>
        <rFont val="Arial Cyr"/>
        <family val="0"/>
      </rPr>
      <t xml:space="preserve">  Дог. №80 від 06.05.2016 - </t>
    </r>
    <r>
      <rPr>
        <b/>
        <sz val="10"/>
        <rFont val="Arial Cyr"/>
        <family val="0"/>
      </rPr>
      <t xml:space="preserve">230 538,32 </t>
    </r>
    <r>
      <rPr>
        <sz val="10"/>
        <rFont val="Arial Cyr"/>
        <family val="0"/>
      </rPr>
      <t>грн.</t>
    </r>
  </si>
  <si>
    <t>к/рем трот.Обїездная работа</t>
  </si>
  <si>
    <t>к/рем трот.Обїездная т/н</t>
  </si>
  <si>
    <t>т/р конт площ Знаменск,8-А, новостр. т/н</t>
  </si>
  <si>
    <t>к/р детск площ октяб.кораб работа</t>
  </si>
  <si>
    <t>вул. Айвазовського, 5а</t>
  </si>
  <si>
    <t>вул. Райдужна, 61</t>
  </si>
  <si>
    <t>пр.Жовтневий, 327/2,пр.Корабелів,20/1,20/2</t>
  </si>
  <si>
    <t>Організація та проведення громадських робіт</t>
  </si>
  <si>
    <t>Адміністрація Корабельного району</t>
  </si>
  <si>
    <t>Капітальний ремонт дитячих майданчиків</t>
  </si>
  <si>
    <t xml:space="preserve">Благоустрій міст, сіл, селищ                                                 Всього (загальний)   </t>
  </si>
  <si>
    <t>Знесення, кронування, сан. обрізка дерев</t>
  </si>
  <si>
    <r>
      <t xml:space="preserve">Прибирання  та санітарна очистка зелених зон, тощо. </t>
    </r>
    <r>
      <rPr>
        <b/>
        <sz val="9"/>
        <rFont val="Arial"/>
        <family val="2"/>
      </rPr>
      <t>Вивезення опалого листя, гилок дерев</t>
    </r>
  </si>
  <si>
    <t>Збереження та утримання на належному рівні зеленої зони населеного пункту та полипшення його екологічних умов</t>
  </si>
  <si>
    <r>
      <t xml:space="preserve">Забезпечення функціонування мереж зовнішнього освітлення.  </t>
    </r>
    <r>
      <rPr>
        <b/>
        <sz val="9"/>
        <rFont val="Arial"/>
        <family val="2"/>
      </rPr>
      <t>Поточний ремонт мереж вуличного освітлення</t>
    </r>
  </si>
  <si>
    <t>Знесення самовільно встановленних МАФ</t>
  </si>
  <si>
    <t>Капітальний ремонт тротуарів</t>
  </si>
  <si>
    <t>Поточний ремонт доріг</t>
  </si>
  <si>
    <r>
  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</si>
  <si>
    <r>
      <t>Капітальний ремонт міськіх доріг</t>
    </r>
    <r>
      <rPr>
        <sz val="10"/>
        <rFont val="Arial"/>
        <family val="2"/>
      </rPr>
      <t>:</t>
    </r>
  </si>
  <si>
    <t xml:space="preserve">Благоустрій міст, сіл, селищ                                              Всього (спеціальний)    </t>
  </si>
  <si>
    <t>Поточний ремонт контейнерних майданчиків</t>
  </si>
  <si>
    <t>тек рем осв 6шт т/н</t>
  </si>
  <si>
    <t>к/рем трот.Обїездная а/н</t>
  </si>
  <si>
    <t>трот</t>
  </si>
  <si>
    <t>т/р конт площ пр. Богояявленський,309 раб</t>
  </si>
  <si>
    <t>8.6</t>
  </si>
  <si>
    <r>
      <t xml:space="preserve">пр. </t>
    </r>
    <r>
      <rPr>
        <b/>
        <i/>
        <sz val="9"/>
        <rFont val="Arial"/>
        <family val="2"/>
      </rPr>
      <t>Богоявленський, 309</t>
    </r>
  </si>
  <si>
    <t>10.2</t>
  </si>
  <si>
    <r>
      <t xml:space="preserve">вул </t>
    </r>
    <r>
      <rPr>
        <b/>
        <i/>
        <sz val="9"/>
        <rFont val="Arial"/>
        <family val="2"/>
      </rPr>
      <t>Тернопільська</t>
    </r>
    <r>
      <rPr>
        <i/>
        <sz val="9"/>
        <rFont val="Arial"/>
        <family val="2"/>
      </rPr>
      <t xml:space="preserve"> (ріг пров. Багрицького)</t>
    </r>
  </si>
  <si>
    <t>к/р дор Смірнова раб</t>
  </si>
  <si>
    <t>к/р дор Беляева раб</t>
  </si>
  <si>
    <t xml:space="preserve">к/р дор Рибная работа </t>
  </si>
  <si>
    <t>т/р дрен спор Терноп раб</t>
  </si>
  <si>
    <t>3110</t>
  </si>
  <si>
    <t>т/р трот Терноп работа</t>
  </si>
  <si>
    <t>9.3</t>
  </si>
  <si>
    <r>
      <t>Придбання малоціних госп.товарів</t>
    </r>
    <r>
      <rPr>
        <sz val="10"/>
        <rFont val="Arial"/>
        <family val="2"/>
      </rPr>
      <t xml:space="preserve"> </t>
    </r>
  </si>
  <si>
    <t>а/н к/р дор Рибная</t>
  </si>
  <si>
    <t>а/н к/р дор Смирнова</t>
  </si>
  <si>
    <t>а/н к/р дор Беляева</t>
  </si>
  <si>
    <t xml:space="preserve">к/р дор Жукова работа </t>
  </si>
  <si>
    <t>а/н к/р дор Жукова</t>
  </si>
  <si>
    <r>
      <t xml:space="preserve">вул. </t>
    </r>
    <r>
      <rPr>
        <b/>
        <i/>
        <sz val="10"/>
        <color indexed="8"/>
        <rFont val="Arial"/>
        <family val="2"/>
      </rPr>
      <t xml:space="preserve">Литовченка </t>
    </r>
    <r>
      <rPr>
        <i/>
        <sz val="10"/>
        <color indexed="8"/>
        <rFont val="Arial"/>
        <family val="2"/>
      </rPr>
      <t>від Ударної до Фруктової та вул. Фруктова від Литовченка до вул. Клечова балка</t>
    </r>
  </si>
  <si>
    <t>Послуги</t>
  </si>
  <si>
    <r>
      <t>вул.</t>
    </r>
    <r>
      <rPr>
        <b/>
        <i/>
        <sz val="9"/>
        <rFont val="Arial"/>
        <family val="2"/>
      </rPr>
      <t xml:space="preserve"> Національної гвардії </t>
    </r>
    <r>
      <rPr>
        <i/>
        <sz val="9"/>
        <rFont val="Arial"/>
        <family val="2"/>
      </rPr>
      <t>від  вул.Ольшанців до вул. Металургів</t>
    </r>
  </si>
  <si>
    <r>
      <t xml:space="preserve">вул. </t>
    </r>
    <r>
      <rPr>
        <b/>
        <i/>
        <sz val="9"/>
        <rFont val="Arial"/>
        <family val="2"/>
      </rPr>
      <t xml:space="preserve">Тернопільська </t>
    </r>
    <r>
      <rPr>
        <i/>
        <sz val="9"/>
        <rFont val="Arial"/>
        <family val="2"/>
      </rPr>
      <t>від №79б до ЗОШ№48</t>
    </r>
  </si>
  <si>
    <t>без 196578</t>
  </si>
  <si>
    <t>"-1211,86</t>
  </si>
  <si>
    <t>"-1212,60</t>
  </si>
  <si>
    <t>м2 / км</t>
  </si>
  <si>
    <r>
      <t xml:space="preserve"> вул </t>
    </r>
    <r>
      <rPr>
        <b/>
        <sz val="9"/>
        <rFont val="Arial"/>
        <family val="2"/>
      </rPr>
      <t>Айвазовського</t>
    </r>
    <r>
      <rPr>
        <sz val="9"/>
        <rFont val="Arial"/>
        <family val="2"/>
      </rPr>
      <t xml:space="preserve"> ріг вул Кобзарська (вул. Командарма Уборевича)</t>
    </r>
  </si>
  <si>
    <r>
      <t xml:space="preserve">пр. </t>
    </r>
    <r>
      <rPr>
        <b/>
        <i/>
        <sz val="9"/>
        <rFont val="Arial"/>
        <family val="2"/>
      </rPr>
      <t>Корабелів, 18 а</t>
    </r>
  </si>
  <si>
    <r>
      <t xml:space="preserve">вул. </t>
    </r>
    <r>
      <rPr>
        <b/>
        <i/>
        <sz val="9"/>
        <rFont val="Arial"/>
        <family val="2"/>
      </rPr>
      <t>Ленінградська, 3 в</t>
    </r>
  </si>
  <si>
    <t>с собак ?</t>
  </si>
  <si>
    <r>
      <t xml:space="preserve">Поточний ремонт мереж вуличного освітлення по пров. </t>
    </r>
    <r>
      <rPr>
        <b/>
        <i/>
        <sz val="9"/>
        <rFont val="Arial"/>
        <family val="2"/>
      </rPr>
      <t>Островського</t>
    </r>
  </si>
  <si>
    <r>
      <t xml:space="preserve">Поточний ремонт мереж вуличного освітлення по вул. </t>
    </r>
    <r>
      <rPr>
        <b/>
        <i/>
        <sz val="9"/>
        <rFont val="Arial"/>
        <family val="2"/>
      </rPr>
      <t>Жукова</t>
    </r>
    <r>
      <rPr>
        <i/>
        <sz val="9"/>
        <rFont val="Arial"/>
        <family val="2"/>
      </rPr>
      <t xml:space="preserve"> від пр. Жовтневого до вул. Рибна </t>
    </r>
  </si>
  <si>
    <t>ФОП ПавловА.А.</t>
  </si>
  <si>
    <t>листья, ветки</t>
  </si>
  <si>
    <t>водопров Клеч.балка аванс</t>
  </si>
  <si>
    <t>т/р конт майд Знам,49  работа</t>
  </si>
  <si>
    <t>к/р дор Кубинск, ПКД,експ.</t>
  </si>
  <si>
    <t>к/р дор ади Ушакова, ПКД,експ.</t>
  </si>
  <si>
    <t>к/р дор (смирнова,Жукова,беляева,рібная) т/н</t>
  </si>
  <si>
    <t>т/р дрен спор Самойл работ,ааванс</t>
  </si>
  <si>
    <t>т/р дрен спор Клеч.балка работ,ааванс</t>
  </si>
  <si>
    <t>т/р конт майд Самойл,30а  работа</t>
  </si>
  <si>
    <t>к/р трот Торгов работа аванс</t>
  </si>
  <si>
    <t>к/р трот Торгов ПКд,експ.</t>
  </si>
  <si>
    <t>покос трави</t>
  </si>
  <si>
    <t>т/р МАФ ограда</t>
  </si>
  <si>
    <t>т/р МАФ лави,столи,урни</t>
  </si>
  <si>
    <t>к/р дор Кубинская работа  аванс</t>
  </si>
  <si>
    <t>к/р дор адм.Ушаковая работа  аванс</t>
  </si>
  <si>
    <t>гром роботи</t>
  </si>
  <si>
    <t xml:space="preserve">МАФ </t>
  </si>
  <si>
    <t>к/р дрен спор геология Рильськ-торгова площа</t>
  </si>
  <si>
    <t>янв-июль</t>
  </si>
  <si>
    <t>покупка газонокосилок</t>
  </si>
  <si>
    <t>т/рем конт майд 3шт-т/н</t>
  </si>
  <si>
    <t>без 2424,46</t>
  </si>
  <si>
    <t>Водопровідно-каналізаційне господарство</t>
  </si>
  <si>
    <t>IV</t>
  </si>
  <si>
    <t>VII</t>
  </si>
  <si>
    <t>укс работа и т/н</t>
  </si>
  <si>
    <t>придб депутатск</t>
  </si>
  <si>
    <t>ПКД  к/р зуп гром Универсам</t>
  </si>
  <si>
    <t>ПКД  к/р зуп гром Универмаг</t>
  </si>
  <si>
    <t>ПКД  к/р зуп гром Казка</t>
  </si>
  <si>
    <t>ПКД  к/р зуп гром Ринок</t>
  </si>
  <si>
    <t>ПКД  к/р зуп гром Залізн переезд</t>
  </si>
  <si>
    <t>вал и навескапокупка тракт г/кослки</t>
  </si>
  <si>
    <t>реж апарат к косилки</t>
  </si>
  <si>
    <t>т/р конт майд Богоявл,327/2  работа</t>
  </si>
  <si>
    <t>т/р освещ Лиманск работа</t>
  </si>
  <si>
    <t>т/р освещ Таврійська работа</t>
  </si>
  <si>
    <t>водопровЛазарева аванс</t>
  </si>
  <si>
    <t>ТОВ "Газ-Сервіс-Буд"</t>
  </si>
  <si>
    <t>8.7.</t>
  </si>
  <si>
    <r>
      <t xml:space="preserve">вул. </t>
    </r>
    <r>
      <rPr>
        <b/>
        <i/>
        <sz val="9"/>
        <rFont val="Arial"/>
        <family val="2"/>
      </rPr>
      <t>Знаменська, 49</t>
    </r>
  </si>
  <si>
    <r>
      <t xml:space="preserve">Поточний ремонт водогону по вул. </t>
    </r>
    <r>
      <rPr>
        <b/>
        <i/>
        <sz val="10"/>
        <rFont val="Arial"/>
        <family val="2"/>
      </rPr>
      <t xml:space="preserve">Клечова балка </t>
    </r>
  </si>
  <si>
    <r>
      <t>Поточний ремонт водогону по вул.</t>
    </r>
    <r>
      <rPr>
        <b/>
        <i/>
        <sz val="10"/>
        <rFont val="Arial"/>
        <family val="2"/>
      </rPr>
      <t xml:space="preserve"> Лазарева </t>
    </r>
  </si>
  <si>
    <t>2.9</t>
  </si>
  <si>
    <t>2.10</t>
  </si>
  <si>
    <r>
      <t xml:space="preserve">вул. </t>
    </r>
    <r>
      <rPr>
        <b/>
        <i/>
        <sz val="9"/>
        <rFont val="Arial"/>
        <family val="2"/>
      </rPr>
      <t>Адм.Ушакова</t>
    </r>
    <r>
      <rPr>
        <i/>
        <sz val="9"/>
        <rFont val="Arial"/>
        <family val="2"/>
      </rPr>
      <t xml:space="preserve"> від вул Кобзарської до вул Ленінградської</t>
    </r>
  </si>
  <si>
    <t>10.3.</t>
  </si>
  <si>
    <t>10.4.</t>
  </si>
  <si>
    <r>
      <t xml:space="preserve"> вул. </t>
    </r>
    <r>
      <rPr>
        <b/>
        <sz val="9"/>
        <rFont val="Arial"/>
        <family val="2"/>
      </rPr>
      <t>Айвазовського</t>
    </r>
    <r>
      <rPr>
        <sz val="9"/>
        <rFont val="Arial"/>
        <family val="2"/>
      </rPr>
      <t xml:space="preserve"> ріг вул Кобзарська (вул Командарма Уборевича)</t>
    </r>
  </si>
  <si>
    <r>
      <t xml:space="preserve">вул. </t>
    </r>
    <r>
      <rPr>
        <b/>
        <i/>
        <sz val="9"/>
        <rFont val="Arial"/>
        <family val="2"/>
      </rPr>
      <t>Тернопільська</t>
    </r>
    <r>
      <rPr>
        <i/>
        <sz val="9"/>
        <rFont val="Arial"/>
        <family val="2"/>
      </rPr>
      <t xml:space="preserve"> (ріг пров. Багрицького)</t>
    </r>
  </si>
  <si>
    <r>
      <t xml:space="preserve">вул. </t>
    </r>
    <r>
      <rPr>
        <b/>
        <i/>
        <sz val="9"/>
        <rFont val="Arial"/>
        <family val="2"/>
      </rPr>
      <t>Клечова балка</t>
    </r>
  </si>
  <si>
    <r>
      <t xml:space="preserve">вул. </t>
    </r>
    <r>
      <rPr>
        <b/>
        <i/>
        <sz val="9"/>
        <rFont val="Arial"/>
        <family val="2"/>
      </rPr>
      <t>Доктора Самойловича</t>
    </r>
    <r>
      <rPr>
        <i/>
        <sz val="9"/>
        <rFont val="Arial"/>
        <family val="2"/>
      </rPr>
      <t xml:space="preserve"> - вул. Айвазовського </t>
    </r>
  </si>
  <si>
    <t>8.8</t>
  </si>
  <si>
    <r>
      <t xml:space="preserve">вул. </t>
    </r>
    <r>
      <rPr>
        <b/>
        <i/>
        <sz val="9"/>
        <rFont val="Arial"/>
        <family val="2"/>
      </rPr>
      <t>Самойловича, 30а</t>
    </r>
  </si>
  <si>
    <t>8.9</t>
  </si>
  <si>
    <r>
      <t>пр.</t>
    </r>
    <r>
      <rPr>
        <b/>
        <i/>
        <sz val="9"/>
        <rFont val="Arial"/>
        <family val="2"/>
      </rPr>
      <t xml:space="preserve"> Богоявленський, 327/2</t>
    </r>
  </si>
  <si>
    <t>1.2.</t>
  </si>
  <si>
    <r>
      <t xml:space="preserve">вул. </t>
    </r>
    <r>
      <rPr>
        <b/>
        <i/>
        <sz val="9"/>
        <rFont val="Arial"/>
        <family val="2"/>
      </rPr>
      <t>Торгова</t>
    </r>
    <r>
      <rPr>
        <i/>
        <sz val="9"/>
        <rFont val="Arial"/>
        <family val="2"/>
      </rPr>
      <t xml:space="preserve"> від вул. Рильського до вул. Львівської</t>
    </r>
  </si>
  <si>
    <t>11</t>
  </si>
  <si>
    <r>
      <t xml:space="preserve">Поточний ремонт МАФ, </t>
    </r>
    <r>
      <rPr>
        <sz val="9"/>
        <rFont val="Arial"/>
        <family val="2"/>
      </rPr>
      <t>у тому числі:</t>
    </r>
  </si>
  <si>
    <t>метал.лави,столи, урни</t>
  </si>
  <si>
    <t>ФОП Петрушков А.Є.</t>
  </si>
  <si>
    <t>п.м.</t>
  </si>
  <si>
    <t>2.1.</t>
  </si>
  <si>
    <t>3.1.</t>
  </si>
  <si>
    <r>
      <t xml:space="preserve">об'їздна дорога </t>
    </r>
    <r>
      <rPr>
        <i/>
        <sz val="9"/>
        <rFont val="Arial"/>
        <family val="2"/>
      </rPr>
      <t>від вул. Фруктової до вул. Волкова</t>
    </r>
  </si>
  <si>
    <t>1.3.</t>
  </si>
  <si>
    <r>
      <t>вул.</t>
    </r>
    <r>
      <rPr>
        <b/>
        <i/>
        <sz val="9"/>
        <rFont val="Arial"/>
        <family val="2"/>
      </rPr>
      <t xml:space="preserve"> Лиманська </t>
    </r>
    <r>
      <rPr>
        <i/>
        <sz val="9"/>
        <rFont val="Arial"/>
        <family val="2"/>
      </rPr>
      <t>від вул. Братська до вул. Б.Хмельницького</t>
    </r>
  </si>
  <si>
    <t>7.13</t>
  </si>
  <si>
    <t>7.14</t>
  </si>
  <si>
    <r>
      <t xml:space="preserve">вул. </t>
    </r>
    <r>
      <rPr>
        <b/>
        <i/>
        <sz val="9"/>
        <rFont val="Arial"/>
        <family val="2"/>
      </rPr>
      <t>Таврійська</t>
    </r>
  </si>
  <si>
    <t>VIIІ</t>
  </si>
  <si>
    <t xml:space="preserve">Благоустрій території для створення містечка спорту "Корабельний" в районі спортивного комплексу "Водолій" за адресою: пр. Жовтневий, 325, 327 в м. Миколаєві (нове будівництво), в т.ч.корегування проекту, експертиза та будівельні роботи </t>
  </si>
  <si>
    <t>лавки (депутатські кошти)</t>
  </si>
  <si>
    <t>ФОП Макаренкін В.Ю.</t>
  </si>
  <si>
    <t xml:space="preserve"> господарчі товари</t>
  </si>
  <si>
    <t>11.1.</t>
  </si>
  <si>
    <t>11.2.</t>
  </si>
  <si>
    <t>огорожа</t>
  </si>
  <si>
    <t>IX</t>
  </si>
  <si>
    <r>
      <t xml:space="preserve">Капітальні вкладення </t>
    </r>
    <r>
      <rPr>
        <sz val="10"/>
        <rFont val="Arial"/>
        <family val="2"/>
      </rPr>
      <t xml:space="preserve">   </t>
    </r>
  </si>
  <si>
    <t>ФОП Павлов А. А.</t>
  </si>
  <si>
    <r>
      <t>вул.</t>
    </r>
    <r>
      <rPr>
        <b/>
        <i/>
        <sz val="9"/>
        <rFont val="Arial"/>
        <family val="2"/>
      </rPr>
      <t xml:space="preserve"> Національної гвардії </t>
    </r>
    <r>
      <rPr>
        <i/>
        <sz val="9"/>
        <rFont val="Arial"/>
        <family val="2"/>
      </rPr>
      <t>від вул.Ольшанців до вул. Металургів</t>
    </r>
  </si>
  <si>
    <t>листя,ветки</t>
  </si>
  <si>
    <t>конт майд</t>
  </si>
  <si>
    <t>дренаж</t>
  </si>
  <si>
    <t>тек рем трот</t>
  </si>
  <si>
    <t>мех оч</t>
  </si>
  <si>
    <t>к/р дор</t>
  </si>
  <si>
    <t>т/р дор</t>
  </si>
  <si>
    <t>к/р трот</t>
  </si>
  <si>
    <t>к/р зуп</t>
  </si>
  <si>
    <t>к/р дрен</t>
  </si>
  <si>
    <t>3.3.</t>
  </si>
  <si>
    <t>3.4.</t>
  </si>
  <si>
    <r>
      <t xml:space="preserve">Дог.№ 51 від 25.04.2016 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245 042,19 </t>
    </r>
    <r>
      <rPr>
        <sz val="10"/>
        <rFont val="Arial"/>
        <family val="2"/>
      </rPr>
      <t>грн</t>
    </r>
    <r>
      <rPr>
        <b/>
        <sz val="10"/>
        <rFont val="Arial"/>
        <family val="2"/>
      </rPr>
      <t>.</t>
    </r>
  </si>
  <si>
    <t>Виконання, грн.</t>
  </si>
  <si>
    <t>3.5</t>
  </si>
  <si>
    <t xml:space="preserve">4 </t>
  </si>
  <si>
    <t>ФОП Кучеренко Т.М.</t>
  </si>
  <si>
    <t>пр.Жовтневий, 327/2, пр.Корабелів,20/1,20/2</t>
  </si>
  <si>
    <r>
      <t>Капітальне будівництво  (придбання) інших об'єктів,</t>
    </r>
    <r>
      <rPr>
        <sz val="10"/>
        <rFont val="Times New Roman"/>
        <family val="1"/>
      </rPr>
      <t xml:space="preserve">                            у тому числі:</t>
    </r>
  </si>
  <si>
    <r>
      <t xml:space="preserve">Капітальний ремонт міськіх доріг, </t>
    </r>
    <r>
      <rPr>
        <sz val="10"/>
        <rFont val="Arial"/>
        <family val="2"/>
      </rPr>
      <t>у тому числі</t>
    </r>
    <r>
      <rPr>
        <b/>
        <sz val="10"/>
        <rFont val="Arial"/>
        <family val="2"/>
      </rPr>
      <t>:</t>
    </r>
  </si>
  <si>
    <r>
      <t>Поточний ремонт доріг,</t>
    </r>
    <r>
      <rPr>
        <sz val="10"/>
        <rFont val="Arial"/>
        <family val="2"/>
      </rPr>
      <t xml:space="preserve"> у тому числі:</t>
    </r>
  </si>
  <si>
    <r>
      <t xml:space="preserve">Капітальний ремонт дренажних споруд, </t>
    </r>
    <r>
      <rPr>
        <sz val="9"/>
        <rFont val="Arial"/>
        <family val="2"/>
      </rPr>
      <t>у тому числі:</t>
    </r>
  </si>
  <si>
    <r>
      <t xml:space="preserve">Капітальний ремонт тротуарів, </t>
    </r>
    <r>
      <rPr>
        <sz val="10"/>
        <rFont val="Arial"/>
        <family val="2"/>
      </rPr>
      <t>у тому числі:</t>
    </r>
  </si>
  <si>
    <r>
      <t>Придбання обладнання і предметів довгострокового користування,</t>
    </r>
    <r>
      <rPr>
        <sz val="10"/>
        <rFont val="Arial"/>
        <family val="2"/>
      </rPr>
      <t xml:space="preserve"> у тому числі:</t>
    </r>
  </si>
  <si>
    <r>
      <t xml:space="preserve">Прибирання  та санітарна очистка зелених зон, тощо. </t>
    </r>
    <r>
      <rPr>
        <b/>
        <sz val="9"/>
        <rFont val="Arial"/>
        <family val="2"/>
      </rPr>
      <t xml:space="preserve">Вивезення опалого листя, гилок дерев, </t>
    </r>
    <r>
      <rPr>
        <sz val="9"/>
        <rFont val="Arial"/>
        <family val="2"/>
      </rPr>
      <t>у тому числі:</t>
    </r>
  </si>
  <si>
    <r>
      <t xml:space="preserve">Придбання малоціних товарів, </t>
    </r>
    <r>
      <rPr>
        <sz val="10"/>
        <rFont val="Arial"/>
        <family val="2"/>
      </rPr>
      <t xml:space="preserve">у тому числі: </t>
    </r>
  </si>
  <si>
    <r>
      <t xml:space="preserve">Оплата послуг (крім комунальних) </t>
    </r>
    <r>
      <rPr>
        <b/>
        <sz val="10"/>
        <rFont val="Arial"/>
        <family val="2"/>
      </rPr>
      <t>Поточний ремонт водопровідно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каналізаційних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мереж</t>
    </r>
    <r>
      <rPr>
        <sz val="10"/>
        <rFont val="Arial"/>
        <family val="2"/>
      </rPr>
      <t>, у тому числі:</t>
    </r>
  </si>
  <si>
    <r>
      <t xml:space="preserve">Капітальний ремонт дитячих майданчиків, </t>
    </r>
    <r>
      <rPr>
        <sz val="10"/>
        <rFont val="Arial"/>
        <family val="2"/>
      </rPr>
      <t>у тому числі:</t>
    </r>
  </si>
  <si>
    <t>навісна косарка</t>
  </si>
  <si>
    <t>ріжучій апарат (тракт.косарки)</t>
  </si>
  <si>
    <r>
      <t>Капітальний ремонт зупинок громадського транспорту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у тому числі:</t>
    </r>
  </si>
  <si>
    <t>газонокосарка бензинова</t>
  </si>
  <si>
    <r>
      <t xml:space="preserve">по вул. </t>
    </r>
    <r>
      <rPr>
        <b/>
        <i/>
        <sz val="9"/>
        <rFont val="Arial"/>
        <family val="2"/>
      </rPr>
      <t>Жукова</t>
    </r>
    <r>
      <rPr>
        <i/>
        <sz val="9"/>
        <rFont val="Arial"/>
        <family val="2"/>
      </rPr>
      <t xml:space="preserve"> від пр. Жовтневого до вул. Рибна </t>
    </r>
  </si>
  <si>
    <r>
      <t xml:space="preserve">по пров. </t>
    </r>
    <r>
      <rPr>
        <b/>
        <i/>
        <sz val="9"/>
        <rFont val="Arial"/>
        <family val="2"/>
      </rPr>
      <t>Островського</t>
    </r>
    <r>
      <rPr>
        <i/>
        <sz val="9"/>
        <rFont val="Arial"/>
        <family val="2"/>
      </rPr>
      <t xml:space="preserve"> </t>
    </r>
  </si>
  <si>
    <t>КП "ДКП - Обрій"</t>
  </si>
  <si>
    <t>т/р тротобъездная от пров объезного до родинной работа</t>
  </si>
  <si>
    <t>т/р конт.майд  Айваз,5 работа</t>
  </si>
  <si>
    <t>к/р дор Молодежная ПКД.експ</t>
  </si>
  <si>
    <t>к/р дор Молодежная аванс работа</t>
  </si>
  <si>
    <t>к/р дор 4 братск,чехова пкд, експ</t>
  </si>
  <si>
    <t>к/р дор 4 братск,чехова аванс работа</t>
  </si>
  <si>
    <t>т/р освещ рильск,фонт,торг работа</t>
  </si>
  <si>
    <t>т/р освещ лиманск т/н</t>
  </si>
  <si>
    <t>т/р трот Тернопольская  т/н</t>
  </si>
  <si>
    <t>т/р освещ. Беляева  т/н</t>
  </si>
  <si>
    <t>т/р трот через сквер от Ленингр  т/н</t>
  </si>
  <si>
    <t>т/р водопров О.Вишні, аванс работа</t>
  </si>
  <si>
    <t>9.4.</t>
  </si>
  <si>
    <r>
      <t xml:space="preserve">по </t>
    </r>
    <r>
      <rPr>
        <b/>
        <i/>
        <sz val="9"/>
        <rFont val="Arial"/>
        <family val="2"/>
      </rPr>
      <t>об'їзній дорозі</t>
    </r>
    <r>
      <rPr>
        <i/>
        <sz val="9"/>
        <rFont val="Arial"/>
        <family val="2"/>
      </rPr>
      <t xml:space="preserve"> від пров.Об'їзного до вул.Родинної</t>
    </r>
  </si>
  <si>
    <t>8.10.</t>
  </si>
  <si>
    <r>
      <t xml:space="preserve">вул. </t>
    </r>
    <r>
      <rPr>
        <b/>
        <i/>
        <sz val="9"/>
        <rFont val="Arial"/>
        <family val="2"/>
      </rPr>
      <t>Айвазавського,5</t>
    </r>
  </si>
  <si>
    <t>2.11.</t>
  </si>
  <si>
    <r>
      <t xml:space="preserve">вул. </t>
    </r>
    <r>
      <rPr>
        <b/>
        <i/>
        <sz val="9"/>
        <rFont val="Arial"/>
        <family val="2"/>
      </rPr>
      <t>Молодіжна</t>
    </r>
    <r>
      <rPr>
        <i/>
        <sz val="9"/>
        <rFont val="Arial"/>
        <family val="2"/>
      </rPr>
      <t xml:space="preserve"> від №29 до вул. Танкістів</t>
    </r>
  </si>
  <si>
    <t>2.12.</t>
  </si>
  <si>
    <r>
      <t>пров.</t>
    </r>
    <r>
      <rPr>
        <b/>
        <i/>
        <sz val="9"/>
        <rFont val="Arial"/>
        <family val="2"/>
      </rPr>
      <t>4-й Братський</t>
    </r>
    <r>
      <rPr>
        <i/>
        <sz val="9"/>
        <rFont val="Arial"/>
        <family val="2"/>
      </rPr>
      <t xml:space="preserve"> та пров. </t>
    </r>
    <r>
      <rPr>
        <b/>
        <i/>
        <sz val="9"/>
        <rFont val="Arial"/>
        <family val="2"/>
      </rPr>
      <t>Чехова</t>
    </r>
    <r>
      <rPr>
        <i/>
        <sz val="9"/>
        <rFont val="Arial"/>
        <family val="2"/>
      </rPr>
      <t xml:space="preserve"> вздовж церкви</t>
    </r>
  </si>
  <si>
    <r>
      <t xml:space="preserve">Поточний ремонт водогону по вул. </t>
    </r>
    <r>
      <rPr>
        <b/>
        <i/>
        <sz val="10"/>
        <rFont val="Arial"/>
        <family val="2"/>
      </rPr>
      <t>Остапа Вишні</t>
    </r>
  </si>
  <si>
    <t>об’єкт</t>
  </si>
  <si>
    <t>7.15</t>
  </si>
  <si>
    <r>
      <t xml:space="preserve">вул. </t>
    </r>
    <r>
      <rPr>
        <b/>
        <i/>
        <sz val="9"/>
        <rFont val="Arial"/>
        <family val="2"/>
      </rPr>
      <t>Рильського</t>
    </r>
    <r>
      <rPr>
        <i/>
        <sz val="9"/>
        <rFont val="Arial"/>
        <family val="2"/>
      </rPr>
      <t>, вул.</t>
    </r>
    <r>
      <rPr>
        <b/>
        <i/>
        <sz val="9"/>
        <rFont val="Arial"/>
        <family val="2"/>
      </rPr>
      <t>Фонтанна</t>
    </r>
    <r>
      <rPr>
        <i/>
        <sz val="9"/>
        <rFont val="Arial"/>
        <family val="2"/>
      </rPr>
      <t xml:space="preserve">, вул. </t>
    </r>
    <r>
      <rPr>
        <b/>
        <i/>
        <sz val="9"/>
        <rFont val="Arial"/>
        <family val="2"/>
      </rPr>
      <t>Торгова</t>
    </r>
  </si>
  <si>
    <r>
      <t xml:space="preserve">вул. </t>
    </r>
    <r>
      <rPr>
        <b/>
        <i/>
        <sz val="9"/>
        <rFont val="Arial"/>
        <family val="2"/>
      </rPr>
      <t>Тернопільська</t>
    </r>
    <r>
      <rPr>
        <i/>
        <sz val="9"/>
        <rFont val="Arial"/>
        <family val="2"/>
      </rPr>
      <t xml:space="preserve"> від №79б до ЗОШ№48</t>
    </r>
  </si>
  <si>
    <t xml:space="preserve"> -снігу</t>
  </si>
  <si>
    <t xml:space="preserve">- вакуумне </t>
  </si>
  <si>
    <t xml:space="preserve">- вологе </t>
  </si>
  <si>
    <t>ТОВ "Карс-Клінінг"</t>
  </si>
  <si>
    <t>п.км</t>
  </si>
  <si>
    <t>кв.м / п.км</t>
  </si>
  <si>
    <r>
      <t xml:space="preserve">Механізоване прибирання,  </t>
    </r>
    <r>
      <rPr>
        <sz val="10"/>
        <rFont val="Arial"/>
        <family val="2"/>
      </rPr>
      <t>у тому числі:</t>
    </r>
    <r>
      <rPr>
        <b/>
        <sz val="10"/>
        <rFont val="Arial"/>
        <family val="2"/>
      </rPr>
      <t xml:space="preserve"> </t>
    </r>
  </si>
  <si>
    <t>т/р конт майд т/н айваз,5-235,03грн окт,327/2-157,05</t>
  </si>
  <si>
    <t>т/р МАФ огорожа</t>
  </si>
  <si>
    <t xml:space="preserve">т/р МАФ лавки,стол,урни </t>
  </si>
  <si>
    <t>т/р дренаж Самойл-Айвазакт №1 закр аванса</t>
  </si>
  <si>
    <t>к/р дорЛитовч а/н</t>
  </si>
  <si>
    <t>к/р дор Литовч т/н</t>
  </si>
  <si>
    <t xml:space="preserve">к/р дорЛитовч работа </t>
  </si>
  <si>
    <t>т/р тротобъездная от пров объезного до родинной т/н</t>
  </si>
  <si>
    <t>т /р водопров. Клеч.балка раб№2</t>
  </si>
  <si>
    <t xml:space="preserve">т/р конт.майд Океан,1б работа </t>
  </si>
  <si>
    <t xml:space="preserve">т/р конт.майд Океан,1б т/н </t>
  </si>
  <si>
    <t>т/р конт.майд Богоявл,340 работа</t>
  </si>
  <si>
    <t>т/р конт.майд Богоявл,340 т/н</t>
  </si>
  <si>
    <t>т/р конт.майд Богоявл, 340/1 работа</t>
  </si>
  <si>
    <t>т/р конт.майд Богоявл, 340/1 т/н</t>
  </si>
  <si>
    <t>трава №1</t>
  </si>
  <si>
    <t>трава №2</t>
  </si>
  <si>
    <t>т /р водопров. Клеч.балка раб№1 закр аванса</t>
  </si>
  <si>
    <t>т/р трот Богоявл.мкр.Ш.Балка  т/н</t>
  </si>
  <si>
    <t>волге мех приб дор №2</t>
  </si>
  <si>
    <t>мех приб.дор №1</t>
  </si>
  <si>
    <t>СПД-ФО  Ржонц Н.О.</t>
  </si>
  <si>
    <t>Капітальний ремонт теплового вузла адміністративної будівлі</t>
  </si>
  <si>
    <t xml:space="preserve">Органи місцевого самоврядування </t>
  </si>
  <si>
    <t>волге мех приб дор №4</t>
  </si>
  <si>
    <t>мех приб.дор №3</t>
  </si>
  <si>
    <t>8.11</t>
  </si>
  <si>
    <t>8.12</t>
  </si>
  <si>
    <r>
      <t xml:space="preserve">пр. </t>
    </r>
    <r>
      <rPr>
        <b/>
        <i/>
        <sz val="9"/>
        <rFont val="Arial"/>
        <family val="2"/>
      </rPr>
      <t>Богоявленський, 340</t>
    </r>
  </si>
  <si>
    <t>8.13</t>
  </si>
  <si>
    <r>
      <t xml:space="preserve">Знесення самовільно встановленних МАФ,                                                                                                                   </t>
    </r>
    <r>
      <rPr>
        <sz val="10"/>
        <color indexed="8"/>
        <rFont val="Arial"/>
        <family val="2"/>
      </rPr>
      <t>у тому числі:</t>
    </r>
  </si>
  <si>
    <t>т/р кнт майд Ленингр,3в</t>
  </si>
  <si>
    <t>т/р освещ спорт,тарле подв,спартака работа</t>
  </si>
  <si>
    <t>Всего за сентябрь</t>
  </si>
  <si>
    <t>т/р дренаж Самойл-Айвазакт №2 работа</t>
  </si>
  <si>
    <t>к/р дренажа ПКД Рильськ-торгова площа</t>
  </si>
  <si>
    <t>к/р дор Автомоб работа</t>
  </si>
  <si>
    <t>к/р дор Клечова балка (от№86 до Фруктов) работа</t>
  </si>
  <si>
    <t>к/р освещ.Запор,7,8,10,11,12 Козацк работа</t>
  </si>
  <si>
    <t>Виконано робіт,  грн.</t>
  </si>
  <si>
    <r>
      <t xml:space="preserve">Касові видатки,  </t>
    </r>
    <r>
      <rPr>
        <b/>
        <sz val="10"/>
        <rFont val="Arial"/>
        <family val="2"/>
      </rPr>
      <t>грн</t>
    </r>
    <r>
      <rPr>
        <b/>
        <sz val="11"/>
        <rFont val="Arial"/>
        <family val="2"/>
      </rPr>
      <t xml:space="preserve">. </t>
    </r>
  </si>
  <si>
    <r>
      <t xml:space="preserve">Знесення, кронування, санітарна обрізка дерев, влаштування газону Дог. </t>
    </r>
    <r>
      <rPr>
        <b/>
        <sz val="10"/>
        <rFont val="Arial"/>
        <family val="2"/>
      </rPr>
      <t xml:space="preserve">№102 від 11.06.2015 </t>
    </r>
    <r>
      <rPr>
        <sz val="10"/>
        <rFont val="Arial"/>
        <family val="2"/>
      </rPr>
      <t xml:space="preserve">- 433 504,11грн.; Дод. угода №1 від 11.06.2015 -413 504,89 грн.; Дод. угода №2 від 30.12.2015 +20%  (82 510,38) - </t>
    </r>
    <r>
      <rPr>
        <b/>
        <sz val="10"/>
        <rFont val="Arial"/>
        <family val="2"/>
      </rPr>
      <t>496 015,27</t>
    </r>
    <r>
      <rPr>
        <sz val="10"/>
        <rFont val="Arial"/>
        <family val="2"/>
      </rPr>
      <t xml:space="preserve"> грн.;  Дод.угода №3 від 12.04.2016 (20% - </t>
    </r>
    <r>
      <rPr>
        <b/>
        <sz val="10"/>
        <rFont val="Arial"/>
        <family val="2"/>
      </rPr>
      <t>82 510,38</t>
    </r>
    <r>
      <rPr>
        <sz val="10"/>
        <rFont val="Arial"/>
        <family val="2"/>
      </rPr>
      <t xml:space="preserve"> грн. =кор-ка об'ємів)</t>
    </r>
  </si>
  <si>
    <r>
      <t xml:space="preserve"> Дог. № 101 від 10.06.2015 -</t>
    </r>
    <r>
      <rPr>
        <sz val="10"/>
        <rFont val="Arial"/>
        <family val="2"/>
      </rPr>
      <t xml:space="preserve"> 364 996,61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грн.;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Дод.угода №1 від10.06.2015 -347 020,88 грн.; Дод.угода №2 від16.10.2015             -247 024,37грн, Дод.угода №3 від 15.12.2015 -244 956,41 грн.; Дод.угода №4 від 30.12.2015+ 20% (</t>
    </r>
    <r>
      <rPr>
        <b/>
        <sz val="10"/>
        <rFont val="Arial"/>
        <family val="2"/>
      </rPr>
      <t>48 962,47</t>
    </r>
    <r>
      <rPr>
        <sz val="10"/>
        <rFont val="Arial"/>
        <family val="2"/>
      </rPr>
      <t xml:space="preserve">грн.) - </t>
    </r>
    <r>
      <rPr>
        <b/>
        <sz val="10"/>
        <rFont val="Arial"/>
        <family val="2"/>
      </rPr>
      <t xml:space="preserve">293 918,88 </t>
    </r>
    <r>
      <rPr>
        <sz val="10"/>
        <rFont val="Arial"/>
        <family val="2"/>
      </rPr>
      <t xml:space="preserve">грн.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</t>
    </r>
  </si>
  <si>
    <r>
      <t xml:space="preserve"> Дог. № 44 від 07.04.2015 - </t>
    </r>
    <r>
      <rPr>
        <sz val="10"/>
        <rFont val="Arial"/>
        <family val="2"/>
      </rPr>
      <t>355 794,49 грн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Дод.угода №1 від 15.12.2015 - 327 584,93грн.; Дод.угода №2 від 30.12.2015+20%        (65 511,88грн.) - 393 096,81; Дод.угода №3 від 15.04.2016 (20% -    </t>
    </r>
    <r>
      <rPr>
        <b/>
        <sz val="10"/>
        <rFont val="Arial"/>
        <family val="2"/>
      </rPr>
      <t>61 490,91</t>
    </r>
    <r>
      <rPr>
        <sz val="10"/>
        <rFont val="Arial"/>
        <family val="2"/>
      </rPr>
      <t xml:space="preserve">) - </t>
    </r>
    <r>
      <rPr>
        <b/>
        <sz val="10"/>
        <rFont val="Arial"/>
        <family val="2"/>
      </rPr>
      <t>389 075,84</t>
    </r>
    <r>
      <rPr>
        <sz val="10"/>
        <rFont val="Arial"/>
        <family val="2"/>
      </rPr>
      <t xml:space="preserve"> грн. </t>
    </r>
  </si>
  <si>
    <r>
      <t xml:space="preserve">Механізоване прибирання доріг Дог № 241 від 18.07.2016 - 606 509,хх грн.,  </t>
    </r>
    <r>
      <rPr>
        <sz val="10"/>
        <rFont val="Arial Cyr"/>
        <family val="0"/>
      </rPr>
      <t>у тому числі:</t>
    </r>
  </si>
  <si>
    <t>" - вакуумне прибирання</t>
  </si>
  <si>
    <t>" - вологе прибирання</t>
  </si>
  <si>
    <t>ТОВ "КАРС КЛІНІНГ"</t>
  </si>
  <si>
    <t>п.км.</t>
  </si>
  <si>
    <t>РАЗОМ ПО АДМІНІСТРАЦІЇ</t>
  </si>
  <si>
    <t>Головний спеціаліст відділу комунального господарства, благоустрою та санітарного очищення</t>
  </si>
  <si>
    <t>про надання послуг</t>
  </si>
  <si>
    <t xml:space="preserve">Інформація </t>
  </si>
  <si>
    <t xml:space="preserve">про хід виконання ремонтних робіт дорожнього покриття по адміністрації Корабельного району Миколаївської міської ради </t>
  </si>
  <si>
    <t>станом на 13.09.2016р</t>
  </si>
  <si>
    <t>№ з/п</t>
  </si>
  <si>
    <t>Найменування</t>
  </si>
  <si>
    <t>Площа, м2</t>
  </si>
  <si>
    <t>Примітка</t>
  </si>
  <si>
    <t>Сума, тис. грн</t>
  </si>
  <si>
    <t>РАЗОМ по адміністрації</t>
  </si>
  <si>
    <t>І</t>
  </si>
  <si>
    <t>виконано</t>
  </si>
  <si>
    <t>25 п.м.</t>
  </si>
  <si>
    <t>ведуться роботи</t>
  </si>
  <si>
    <t>заплановано</t>
  </si>
  <si>
    <r>
      <t xml:space="preserve">Капітальний ремонт дороги приватного сектору по вул. </t>
    </r>
    <r>
      <rPr>
        <b/>
        <sz val="10"/>
        <color indexed="8"/>
        <rFont val="Arial"/>
        <family val="2"/>
      </rPr>
      <t xml:space="preserve">Автомобільна </t>
    </r>
    <r>
      <rPr>
        <sz val="10"/>
        <color indexed="8"/>
        <rFont val="Arial"/>
        <family val="2"/>
      </rPr>
      <t>ріг пр. Богоявленського</t>
    </r>
  </si>
  <si>
    <r>
      <t xml:space="preserve">Капітальний ремонт дороги приватного сектору по вул. </t>
    </r>
    <r>
      <rPr>
        <b/>
        <sz val="10"/>
        <color indexed="8"/>
        <rFont val="Arial"/>
        <family val="2"/>
      </rPr>
      <t>Клечова балка</t>
    </r>
    <r>
      <rPr>
        <sz val="10"/>
        <color indexed="8"/>
        <rFont val="Arial"/>
        <family val="2"/>
      </rPr>
      <t xml:space="preserve"> від №86 до вул. Фруктової</t>
    </r>
  </si>
  <si>
    <r>
      <t>Капітальний ремонт дороги приватного сектору по пров.</t>
    </r>
    <r>
      <rPr>
        <b/>
        <sz val="9"/>
        <rFont val="Arial"/>
        <family val="2"/>
      </rPr>
      <t>4-й Братський</t>
    </r>
    <r>
      <rPr>
        <sz val="9"/>
        <rFont val="Arial"/>
        <family val="2"/>
      </rPr>
      <t xml:space="preserve"> та пров. </t>
    </r>
    <r>
      <rPr>
        <b/>
        <sz val="9"/>
        <rFont val="Arial"/>
        <family val="2"/>
      </rPr>
      <t>Чехова</t>
    </r>
    <r>
      <rPr>
        <sz val="9"/>
        <rFont val="Arial"/>
        <family val="2"/>
      </rPr>
      <t xml:space="preserve"> вздовж церкви</t>
    </r>
  </si>
  <si>
    <r>
      <t xml:space="preserve">Капітальний ремонт дороги приватного сектору по пров. </t>
    </r>
    <r>
      <rPr>
        <b/>
        <sz val="9"/>
        <rFont val="Arial"/>
        <family val="2"/>
      </rPr>
      <t>Смірнова</t>
    </r>
  </si>
  <si>
    <r>
      <t>Капітальний ремонт дороги приватного сектору по вул.</t>
    </r>
    <r>
      <rPr>
        <b/>
        <sz val="10"/>
        <color indexed="8"/>
        <rFont val="Arial"/>
        <family val="2"/>
      </rPr>
      <t>Жукова</t>
    </r>
    <r>
      <rPr>
        <sz val="10"/>
        <color indexed="8"/>
        <rFont val="Arial"/>
        <family val="2"/>
      </rPr>
      <t xml:space="preserve"> від пр. Богоявленського до вул.Симферопольськ.</t>
    </r>
  </si>
  <si>
    <r>
      <t>Капітальний ремонт дороги приватного сектору по вул.</t>
    </r>
    <r>
      <rPr>
        <b/>
        <sz val="10"/>
        <color indexed="8"/>
        <rFont val="Arial"/>
        <family val="2"/>
      </rPr>
      <t>Беляєва</t>
    </r>
    <r>
      <rPr>
        <sz val="10"/>
        <color indexed="8"/>
        <rFont val="Arial"/>
        <family val="2"/>
      </rPr>
      <t xml:space="preserve"> від  вул. Рибної до берегової зони</t>
    </r>
  </si>
  <si>
    <r>
      <t>Капітальний ремонт дороги приватного сектору по вул.</t>
    </r>
    <r>
      <rPr>
        <b/>
        <sz val="10"/>
        <color indexed="8"/>
        <rFont val="Arial"/>
        <family val="2"/>
      </rPr>
      <t>Галіцинівська</t>
    </r>
  </si>
  <si>
    <t>Придбання компютерної техніки</t>
  </si>
  <si>
    <t>ТОВ СКБ "ТЕПЛОТЕХНІКА"</t>
  </si>
  <si>
    <t>ПП МЕНЬКОВ В,Г,</t>
  </si>
  <si>
    <r>
      <t xml:space="preserve">Капітальний ремонт дороги приватного сектору по вул. </t>
    </r>
    <r>
      <rPr>
        <b/>
        <sz val="10"/>
        <color indexed="8"/>
        <rFont val="Arial"/>
        <family val="2"/>
      </rPr>
      <t xml:space="preserve">Литовченка </t>
    </r>
    <r>
      <rPr>
        <sz val="10"/>
        <color indexed="8"/>
        <rFont val="Arial"/>
        <family val="2"/>
      </rPr>
      <t>від Ударної до Фруктової та вул. Фруктова від Литовченка до вул. Клечова балка</t>
    </r>
  </si>
  <si>
    <r>
      <t xml:space="preserve">Капітальний ремонт дороги приватного сектору по вул. </t>
    </r>
    <r>
      <rPr>
        <b/>
        <sz val="10"/>
        <color indexed="8"/>
        <rFont val="Arial"/>
        <family val="2"/>
      </rPr>
      <t>Кубинській</t>
    </r>
  </si>
  <si>
    <t>на стадії виконання проекту</t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</si>
  <si>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Ватутіна</t>
    </r>
    <r>
      <rPr>
        <sz val="10"/>
        <rFont val="Arial"/>
        <family val="2"/>
      </rPr>
      <t xml:space="preserve"> від вул. Рибної до вул. Краєзнавців (вул. Чичеріна)</t>
    </r>
  </si>
  <si>
    <r>
      <t>Поточний ремонт дороги приватного сектору по вул.</t>
    </r>
    <r>
      <rPr>
        <b/>
        <sz val="10"/>
        <rFont val="Arial"/>
        <family val="2"/>
      </rPr>
      <t xml:space="preserve"> Ольшанців</t>
    </r>
  </si>
  <si>
    <r>
      <t xml:space="preserve">Поточний ремонт дороги приватного сектору по вул. </t>
    </r>
    <r>
      <rPr>
        <b/>
        <sz val="10"/>
        <rFont val="Arial"/>
        <family val="2"/>
      </rPr>
      <t>Львівська</t>
    </r>
  </si>
  <si>
    <r>
      <t xml:space="preserve">Поточний ремонт дороги приватного сектору по вул. </t>
    </r>
    <r>
      <rPr>
        <b/>
        <sz val="10"/>
        <rFont val="Arial"/>
        <family val="2"/>
      </rPr>
      <t>Оранжерейна</t>
    </r>
  </si>
  <si>
    <r>
      <t xml:space="preserve">Поточний ремонт дороги приватного сектору по вул. </t>
    </r>
    <r>
      <rPr>
        <b/>
        <sz val="10"/>
        <rFont val="Arial"/>
        <family val="2"/>
      </rPr>
      <t>Прибузька</t>
    </r>
  </si>
  <si>
    <r>
      <t xml:space="preserve">Поточний ремонт дороги приватного сектору по пров. </t>
    </r>
    <r>
      <rPr>
        <b/>
        <sz val="10"/>
        <rFont val="Arial"/>
        <family val="2"/>
      </rPr>
      <t>Колективний</t>
    </r>
  </si>
  <si>
    <r>
      <t xml:space="preserve">Поточний ремонт дороги приватного сектору по пров. </t>
    </r>
    <r>
      <rPr>
        <b/>
        <sz val="10"/>
        <rFont val="Arial"/>
        <family val="2"/>
      </rPr>
      <t>5-й Прибузький</t>
    </r>
  </si>
  <si>
    <r>
      <t xml:space="preserve">Поточний ремонт дороги приватного сектору по пр. </t>
    </r>
    <r>
      <rPr>
        <b/>
        <sz val="10"/>
        <rFont val="Arial Cyr"/>
        <family val="0"/>
      </rPr>
      <t>Богоявленський</t>
    </r>
    <r>
      <rPr>
        <sz val="10"/>
        <rFont val="Arial Cyr"/>
        <family val="0"/>
      </rPr>
      <t xml:space="preserve"> (з'їзд з мосту праворуч)</t>
    </r>
  </si>
  <si>
    <r>
      <t xml:space="preserve">Поточний ремонт дороги приватного сектору по вул. </t>
    </r>
    <r>
      <rPr>
        <b/>
        <sz val="10"/>
        <rFont val="Arial"/>
        <family val="2"/>
      </rPr>
      <t>Ленінградській</t>
    </r>
    <r>
      <rPr>
        <sz val="10"/>
        <rFont val="Arial"/>
        <family val="2"/>
      </rPr>
      <t xml:space="preserve"> від пр. Богоявленського вбік вул. Тернопільської</t>
    </r>
  </si>
  <si>
    <r>
      <t>Поточний ремонт дороги приватного сектору по вул.</t>
    </r>
    <r>
      <rPr>
        <b/>
        <sz val="10"/>
        <rFont val="Arial"/>
        <family val="2"/>
      </rPr>
      <t xml:space="preserve"> Ленінградська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1- 5а</t>
    </r>
    <r>
      <rPr>
        <sz val="10"/>
        <rFont val="Arial"/>
        <family val="2"/>
      </rPr>
      <t xml:space="preserve"> (спуск)</t>
    </r>
  </si>
  <si>
    <r>
      <t xml:space="preserve">Поточний ремонт дороги приватного сектору по вул. </t>
    </r>
    <r>
      <rPr>
        <b/>
        <sz val="10"/>
        <rFont val="Arial"/>
        <family val="2"/>
      </rPr>
      <t>Некрасова</t>
    </r>
  </si>
  <si>
    <r>
      <t>Поточний ремонт дороги приватного сектору по вул.</t>
    </r>
    <r>
      <rPr>
        <b/>
        <sz val="10"/>
        <rFont val="Arial"/>
        <family val="2"/>
      </rPr>
      <t>Рибна</t>
    </r>
    <r>
      <rPr>
        <sz val="10"/>
        <rFont val="Arial"/>
        <family val="2"/>
      </rPr>
      <t xml:space="preserve"> вздовж буд.№ 57 (бордюри)</t>
    </r>
  </si>
  <si>
    <r>
      <t>Капітальний ремонт дороги приватного сектору по вул.</t>
    </r>
    <r>
      <rPr>
        <b/>
        <sz val="10"/>
        <color indexed="8"/>
        <rFont val="Arial"/>
        <family val="2"/>
      </rPr>
      <t xml:space="preserve"> Рибна</t>
    </r>
    <r>
      <rPr>
        <sz val="10"/>
        <color indexed="8"/>
        <rFont val="Arial"/>
        <family val="2"/>
      </rPr>
      <t xml:space="preserve"> від вул. Зорге до вул. Клечова балка</t>
    </r>
  </si>
  <si>
    <r>
      <t>Капітальний ремонт дороги приватного сектору по вул.</t>
    </r>
    <r>
      <rPr>
        <b/>
        <sz val="10"/>
        <rFont val="Arial"/>
        <family val="2"/>
      </rPr>
      <t xml:space="preserve"> Чехова</t>
    </r>
  </si>
  <si>
    <r>
      <t>Капітальний ремонт дороги приватного сектору по вул.</t>
    </r>
    <r>
      <rPr>
        <b/>
        <sz val="10"/>
        <rFont val="Arial"/>
        <family val="2"/>
      </rPr>
      <t xml:space="preserve"> І.Франка</t>
    </r>
    <r>
      <rPr>
        <sz val="10"/>
        <rFont val="Arial"/>
        <family val="2"/>
      </rPr>
      <t xml:space="preserve"> від вул. Приміської до вул. Льотчиків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</si>
  <si>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Льотчиків</t>
    </r>
    <r>
      <rPr>
        <sz val="10"/>
        <rFont val="Arial"/>
        <family val="2"/>
      </rPr>
      <t xml:space="preserve"> від вул. І.Франка до вул. 295 Стрілецької дивізії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</si>
  <si>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Приміська</t>
    </r>
    <r>
      <rPr>
        <sz val="10"/>
        <rFont val="Arial"/>
        <family val="2"/>
      </rPr>
      <t xml:space="preserve"> від пр. Богоявленського до вул. Толстого</t>
    </r>
  </si>
  <si>
    <r>
      <t>Капітальний ремонт дороги приватного сектору по вул.</t>
    </r>
    <r>
      <rPr>
        <b/>
        <sz val="10"/>
        <rFont val="Arial"/>
        <family val="2"/>
      </rPr>
      <t xml:space="preserve"> Братська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</si>
  <si>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Жукова</t>
    </r>
    <r>
      <rPr>
        <sz val="10"/>
        <rFont val="Arial"/>
        <family val="2"/>
      </rPr>
      <t xml:space="preserve"> від вул. Сімферопольської до вул. Рибної</t>
    </r>
  </si>
  <si>
    <t>тек рем</t>
  </si>
  <si>
    <t>дрен</t>
  </si>
  <si>
    <t>осв</t>
  </si>
  <si>
    <t>дер</t>
  </si>
  <si>
    <t>ручн</t>
  </si>
  <si>
    <t>Маф</t>
  </si>
  <si>
    <t>мех вакуумн</t>
  </si>
  <si>
    <t>вологе</t>
  </si>
  <si>
    <t>снег</t>
  </si>
  <si>
    <t>7.16</t>
  </si>
  <si>
    <r>
      <t xml:space="preserve">вул. </t>
    </r>
    <r>
      <rPr>
        <b/>
        <i/>
        <sz val="9"/>
        <rFont val="Arial"/>
        <family val="2"/>
      </rPr>
      <t>Спортивна</t>
    </r>
    <r>
      <rPr>
        <i/>
        <sz val="9"/>
        <rFont val="Arial"/>
        <family val="2"/>
      </rPr>
      <t>, вул.</t>
    </r>
    <r>
      <rPr>
        <b/>
        <i/>
        <sz val="9"/>
        <rFont val="Arial"/>
        <family val="2"/>
      </rPr>
      <t>Тарле</t>
    </r>
    <r>
      <rPr>
        <i/>
        <sz val="9"/>
        <rFont val="Arial"/>
        <family val="2"/>
      </rPr>
      <t xml:space="preserve">, вул. </t>
    </r>
    <r>
      <rPr>
        <b/>
        <i/>
        <sz val="9"/>
        <rFont val="Arial"/>
        <family val="2"/>
      </rPr>
      <t>Подвійського</t>
    </r>
    <r>
      <rPr>
        <i/>
        <sz val="9"/>
        <rFont val="Arial"/>
        <family val="2"/>
      </rPr>
      <t>, вул.</t>
    </r>
    <r>
      <rPr>
        <b/>
        <i/>
        <sz val="9"/>
        <rFont val="Arial"/>
        <family val="2"/>
      </rPr>
      <t xml:space="preserve"> Спартака</t>
    </r>
  </si>
  <si>
    <r>
      <t>по вул</t>
    </r>
    <r>
      <rPr>
        <b/>
        <i/>
        <sz val="9"/>
        <rFont val="Arial"/>
        <family val="2"/>
      </rPr>
      <t xml:space="preserve"> Рильського</t>
    </r>
    <r>
      <rPr>
        <i/>
        <sz val="9"/>
        <rFont val="Arial"/>
        <family val="2"/>
      </rPr>
      <t xml:space="preserve"> - торгова площа</t>
    </r>
  </si>
  <si>
    <t>МНВП "ПІКАС"</t>
  </si>
  <si>
    <t>ПКД : гідрогеологічні умови</t>
  </si>
  <si>
    <t>ПКД : проектні роботи</t>
  </si>
  <si>
    <r>
      <t xml:space="preserve">Капітальний ремонт мереж вуличного освітлення, </t>
    </r>
    <r>
      <rPr>
        <sz val="9"/>
        <rFont val="Arial"/>
        <family val="2"/>
      </rPr>
      <t>у тому числі:</t>
    </r>
  </si>
  <si>
    <t>5.1.</t>
  </si>
  <si>
    <t>КО "Компания "Горсвет"</t>
  </si>
  <si>
    <t>волге мех приб дор №6</t>
  </si>
  <si>
    <t>мех приб.дор №5</t>
  </si>
  <si>
    <t>т/р освещ Балт работа</t>
  </si>
  <si>
    <t>к/р детск площ Айваз,5а а/н</t>
  </si>
  <si>
    <t>к/р детск площ Радужн,61 а/н</t>
  </si>
  <si>
    <t>к/р освещ.Запор,7,8,10,11,12 Козацк авт нагл.</t>
  </si>
  <si>
    <t>к/р освещ.Запор,7,8,10,11,12 Козацк тех нагл.</t>
  </si>
  <si>
    <t>т/рем дор Рібн -122,Богоявл-2246 т/н</t>
  </si>
  <si>
    <t>к/р дор Кубинск  т/н</t>
  </si>
  <si>
    <t>к/р дор Кубинск работа</t>
  </si>
  <si>
    <t>к/р дор Кубинск а/н</t>
  </si>
  <si>
    <t>т/р дрен спор Клеч балка-1386;Терноп 252 т/н</t>
  </si>
  <si>
    <t>т/р дрен споруд Самойл-Айваз-2939;Ленингр-512  т/н</t>
  </si>
  <si>
    <t xml:space="preserve">трава </t>
  </si>
  <si>
    <t>к/р освітвещ Причеп ПКД техумови</t>
  </si>
  <si>
    <t>к/р дорога Ватутіна аванс работа</t>
  </si>
  <si>
    <t>к/р дорога Ватутіна ПКД.експ</t>
  </si>
  <si>
    <t xml:space="preserve">    </t>
  </si>
  <si>
    <t>КП "Капітальне буд-во"</t>
  </si>
  <si>
    <t>ТОВ !Гідротехнології"</t>
  </si>
  <si>
    <t>найменув</t>
  </si>
  <si>
    <t>п.м / св.</t>
  </si>
  <si>
    <r>
      <t xml:space="preserve">пр. </t>
    </r>
    <r>
      <rPr>
        <b/>
        <i/>
        <sz val="9"/>
        <rFont val="Arial"/>
        <family val="2"/>
      </rPr>
      <t>Богоявленський, 340 / 1</t>
    </r>
  </si>
  <si>
    <t>пр. Богоявленський, 323/3</t>
  </si>
  <si>
    <r>
      <t xml:space="preserve">вул. </t>
    </r>
    <r>
      <rPr>
        <b/>
        <i/>
        <sz val="10"/>
        <color indexed="8"/>
        <rFont val="Arial"/>
        <family val="2"/>
      </rPr>
      <t>Кубинська</t>
    </r>
  </si>
  <si>
    <t>т/рем дор рибна борд работа</t>
  </si>
  <si>
    <t>т/рем дороги Богоявл сїезд з мосту прав работа</t>
  </si>
  <si>
    <t>к/р дор Клечова балка (от№86 до Фруктов) а/н</t>
  </si>
  <si>
    <t>к/р дор Клечова балка (от№86 до Фруктов) т/н</t>
  </si>
  <si>
    <t>к/р дор Автомоб т/н</t>
  </si>
  <si>
    <t>т/р зливов каналіз Ленингр. Работа</t>
  </si>
  <si>
    <t>т/р освещ Тавр-1518,91;спотр2530,6;рильськ-1093,84  т/н</t>
  </si>
  <si>
    <t>к/р трот Торгова (от Рильськ до Львовск) т/н</t>
  </si>
  <si>
    <t>к/р трот Торгова (от Рильськ до Львовск) а/н</t>
  </si>
  <si>
    <t>т/р детск площ (забор) Прибугск аванс работа</t>
  </si>
  <si>
    <t>т/р спортплощ (забор) Глинки,5,7 аванс работа</t>
  </si>
  <si>
    <t>за 9 месяцев</t>
  </si>
  <si>
    <t>к/р дор Автомоб а/н</t>
  </si>
  <si>
    <t>10.5.</t>
  </si>
  <si>
    <r>
      <t xml:space="preserve">вул </t>
    </r>
    <r>
      <rPr>
        <b/>
        <i/>
        <sz val="9"/>
        <rFont val="Arial"/>
        <family val="2"/>
      </rPr>
      <t>Ленінградська</t>
    </r>
  </si>
  <si>
    <r>
      <t xml:space="preserve">Поточний ремонт спортивних дитячих майданчиків, </t>
    </r>
    <r>
      <rPr>
        <sz val="10"/>
        <rFont val="Arial"/>
        <family val="2"/>
      </rPr>
      <t>у тому числі:</t>
    </r>
  </si>
  <si>
    <r>
      <t>вул.</t>
    </r>
    <r>
      <rPr>
        <b/>
        <sz val="10"/>
        <rFont val="Arial"/>
        <family val="2"/>
      </rPr>
      <t xml:space="preserve"> Прибузька </t>
    </r>
    <r>
      <rPr>
        <sz val="10"/>
        <rFont val="Arial"/>
        <family val="2"/>
      </rPr>
      <t>біля школи юннатів (огорожа)</t>
    </r>
  </si>
  <si>
    <t>2.3.</t>
  </si>
  <si>
    <t>1.7.</t>
  </si>
  <si>
    <r>
      <t xml:space="preserve">вул. </t>
    </r>
    <r>
      <rPr>
        <b/>
        <i/>
        <sz val="9"/>
        <rFont val="Arial"/>
        <family val="2"/>
      </rPr>
      <t>Рибна</t>
    </r>
    <r>
      <rPr>
        <i/>
        <sz val="9"/>
        <rFont val="Arial"/>
        <family val="2"/>
      </rPr>
      <t xml:space="preserve"> вздовж буд.№57 (бордюри)</t>
    </r>
  </si>
  <si>
    <t>1.8.</t>
  </si>
  <si>
    <r>
      <t xml:space="preserve">пр. </t>
    </r>
    <r>
      <rPr>
        <b/>
        <i/>
        <sz val="9"/>
        <rFont val="Arial"/>
        <family val="2"/>
      </rPr>
      <t xml:space="preserve">Богоявленський </t>
    </r>
    <r>
      <rPr>
        <i/>
        <sz val="9"/>
        <rFont val="Arial"/>
        <family val="2"/>
      </rPr>
      <t>(з'Їзд з мосту праворуч)</t>
    </r>
  </si>
  <si>
    <t>м2/ п.м.</t>
  </si>
  <si>
    <t>2.13.</t>
  </si>
  <si>
    <r>
      <t xml:space="preserve">вул. </t>
    </r>
    <r>
      <rPr>
        <b/>
        <i/>
        <sz val="9"/>
        <rFont val="Arial"/>
        <family val="2"/>
      </rPr>
      <t>Ватутіна</t>
    </r>
    <r>
      <rPr>
        <i/>
        <sz val="9"/>
        <rFont val="Arial"/>
        <family val="2"/>
      </rPr>
      <t xml:space="preserve"> від вул. Рибна до вул. Краєзнавців</t>
    </r>
  </si>
  <si>
    <t>Техумови приеднання до електромереж</t>
  </si>
  <si>
    <t>ПКД : гіодезічні вишукування</t>
  </si>
  <si>
    <t>КП " Гозпрозрахункове проектно-виробниче архітектурно-планувальне бюро"</t>
  </si>
  <si>
    <t>ТОВ "Светолюкс-Єлектромонтаж"</t>
  </si>
  <si>
    <t>7.17.</t>
  </si>
  <si>
    <r>
      <t xml:space="preserve">вул. </t>
    </r>
    <r>
      <rPr>
        <b/>
        <i/>
        <sz val="9"/>
        <rFont val="Arial"/>
        <family val="2"/>
      </rPr>
      <t xml:space="preserve">Балтійська </t>
    </r>
    <r>
      <rPr>
        <i/>
        <sz val="9"/>
        <rFont val="Arial"/>
        <family val="2"/>
      </rPr>
      <t>від вул. Рильського до буд.№136</t>
    </r>
  </si>
  <si>
    <r>
      <t xml:space="preserve"> вул. </t>
    </r>
    <r>
      <rPr>
        <b/>
        <i/>
        <sz val="9"/>
        <rFont val="Arial"/>
        <family val="2"/>
      </rPr>
      <t>Запорізька</t>
    </r>
    <r>
      <rPr>
        <i/>
        <sz val="9"/>
        <rFont val="Arial"/>
        <family val="2"/>
      </rPr>
      <t xml:space="preserve">, вул. 7-а </t>
    </r>
    <r>
      <rPr>
        <b/>
        <i/>
        <sz val="9"/>
        <rFont val="Arial"/>
        <family val="2"/>
      </rPr>
      <t>Козацька</t>
    </r>
    <r>
      <rPr>
        <i/>
        <sz val="9"/>
        <rFont val="Arial"/>
        <family val="2"/>
      </rPr>
      <t xml:space="preserve">, вул. 8-а Козацька, вул.10-а Козацька , вул.11-а Козацька, вул.12-а Козацька </t>
    </r>
  </si>
  <si>
    <t>янв-сент 2016</t>
  </si>
  <si>
    <r>
      <t>Капітальний ремонт інших обєктів,</t>
    </r>
    <r>
      <rPr>
        <i/>
        <sz val="10"/>
        <rFont val="Arial"/>
        <family val="2"/>
      </rPr>
      <t xml:space="preserve"> у тому числі:</t>
    </r>
  </si>
  <si>
    <t>к/р трот Торгова (от Рильськ до Львовск) работа№2</t>
  </si>
  <si>
    <t>к/р трот Торгова (от Рильськ до Львовск) работа №1</t>
  </si>
  <si>
    <r>
      <t>Оплата послуг (крім комунальних),</t>
    </r>
    <r>
      <rPr>
        <i/>
        <sz val="10"/>
        <rFont val="Arial"/>
        <family val="2"/>
      </rPr>
      <t xml:space="preserve"> у тому числі:</t>
    </r>
  </si>
  <si>
    <t>ПАТ "Миколаївобленерго"</t>
  </si>
  <si>
    <t>октябрь</t>
  </si>
  <si>
    <t>покупка дробилка веток</t>
  </si>
  <si>
    <t>т/р освещ Калинич  работа</t>
  </si>
  <si>
    <t>т/р освещ Пионерский работа</t>
  </si>
  <si>
    <t>т/р освещ. Пионер-1614,98;Балт-883,57;калинич-1217,94  т/н</t>
  </si>
  <si>
    <t xml:space="preserve">т/р конт.майд Океан,16 работа </t>
  </si>
  <si>
    <t>т/р конт.майд Кораб,12-в работа</t>
  </si>
  <si>
    <t>к/р дор Галицин. работа</t>
  </si>
  <si>
    <t>к/р освещ.мкр Причеп. ПКД.експ.</t>
  </si>
  <si>
    <t>т/р конт.майд  Океан, 38 работа</t>
  </si>
  <si>
    <t>к/р дор Ушакова         а/н</t>
  </si>
  <si>
    <t>к/р дор Галицин.         а/н</t>
  </si>
  <si>
    <t>к/р дор Ушакова   работа</t>
  </si>
  <si>
    <t>к/р дор Ушакова         т/н</t>
  </si>
  <si>
    <t>к/р дор Галицин.         т/н</t>
  </si>
  <si>
    <t>к/р дор Некрасова  работа АВАНС</t>
  </si>
  <si>
    <t>т/р дитяч. Майд Метал,34 работа АВАНС</t>
  </si>
  <si>
    <t>т/р дитяч. майд Самойл,30,30а,30б работа АВАНС</t>
  </si>
  <si>
    <t>т/р дитяч. майд Терноп,79а работа АВАНС</t>
  </si>
  <si>
    <t>к/р дор К.Гордиенко  работа АВАНС</t>
  </si>
  <si>
    <t>к/р дор Металург ПКД,експ</t>
  </si>
  <si>
    <t>к/р дор Л.Укр ПКД,експ</t>
  </si>
  <si>
    <t>т /р водопров. Лазаревап раб№2</t>
  </si>
  <si>
    <t>т /р водопров. Клеч.балка раб № 3 топ.зйомка</t>
  </si>
  <si>
    <t>к/р детск площ Октяб.Кораб. №2 работа</t>
  </si>
  <si>
    <t>о  к  т  я  б  р  ь</t>
  </si>
  <si>
    <t>к/р освещ.мкр Причеп. Работа АВАНС</t>
  </si>
  <si>
    <t xml:space="preserve">                                                                     </t>
  </si>
  <si>
    <t>к/р детск площ Радужн,61 т/н</t>
  </si>
  <si>
    <t>к/р детск площ Айваз,5а т/н</t>
  </si>
  <si>
    <t>к/р дор К.Гордиенко ПКД</t>
  </si>
  <si>
    <t>к/р дор Некрасова  ПКД</t>
  </si>
  <si>
    <t>к/р дор Л.Укр работа АВАНС</t>
  </si>
  <si>
    <t>к/р дор Металург работа АВАНС</t>
  </si>
  <si>
    <t>т/р трот Нацгвардии от Новостр до Самойл работа</t>
  </si>
  <si>
    <t xml:space="preserve">                                                                                           по адміністрації Корабельного району станом на 31.12.2016р. </t>
  </si>
  <si>
    <t xml:space="preserve"> станом на 31.12.2016р.</t>
  </si>
  <si>
    <t>ТОВ "Гідротехнології</t>
  </si>
  <si>
    <t>пилка бензинова</t>
  </si>
  <si>
    <t>к/р зуп гром трансп. Универсам раб аванс</t>
  </si>
  <si>
    <t>к/р зуп гром трансп. Универмаг раб аванс</t>
  </si>
  <si>
    <t>к/р зуп гром трансп.Казка раб аванс</t>
  </si>
  <si>
    <t>к/р зуп гром трансп. Ринок раб аванс</t>
  </si>
  <si>
    <t>к/р зуп гром трансп. ж/д переезд раб аванс</t>
  </si>
  <si>
    <t xml:space="preserve">         по адміністрації Корабельного району  за січень - жовтень 2016р.</t>
  </si>
  <si>
    <t>вкл 11.10.2016</t>
  </si>
  <si>
    <t>к/р дор Некрасова     а/н</t>
  </si>
  <si>
    <t>к/р дор Ватутіна     а/н</t>
  </si>
  <si>
    <t>к/р дор Некрасова    работа</t>
  </si>
  <si>
    <t>к/р дор Ватутіна     работа</t>
  </si>
  <si>
    <t>т/р освещ. Беляева  работа</t>
  </si>
  <si>
    <t>т/р освещ Волкова работа</t>
  </si>
  <si>
    <t xml:space="preserve">волге мех приб дор </t>
  </si>
  <si>
    <t xml:space="preserve">мех приб.дор </t>
  </si>
  <si>
    <t>к/р дор Рибна Ольш-Янтарна ПКД,експ</t>
  </si>
  <si>
    <t>к/р дор Рибна Родин-Гагаріна ПКД,експ</t>
  </si>
  <si>
    <t>т/р дитяч.Артема,24-26 аванс</t>
  </si>
  <si>
    <t>т/р конт.майд Кораб,20/1 работа</t>
  </si>
  <si>
    <t>т/р конт.майд Кораб,12-а работа</t>
  </si>
  <si>
    <t>т/р конт.майд Кораб,12-б работа</t>
  </si>
  <si>
    <t>т/р конт.майд Кораб,16-а работа</t>
  </si>
  <si>
    <t>т/р конт.майд Океан.,18/2 работа</t>
  </si>
  <si>
    <t>т/р конт.майд Океан.,64 работа</t>
  </si>
  <si>
    <t>послуги з подмет улиц</t>
  </si>
  <si>
    <t>к/р детск площ Октяб.Кораб. т/н</t>
  </si>
  <si>
    <t>покупка тракт прицеп</t>
  </si>
  <si>
    <t>т/р д/площ ограда Прибузька</t>
  </si>
  <si>
    <t>т/р д/площ ограда Глинки,5,7</t>
  </si>
  <si>
    <t>к/р дор Балтийск №50-№72 работа аванс</t>
  </si>
  <si>
    <t>к/р дор Балтийск №50-№72 ПКД,експ</t>
  </si>
  <si>
    <t>к/р дор Рильськ Балт-Ольш. Работа АВАНС</t>
  </si>
  <si>
    <t>к/р дор Рильськ Балт-Ольш.ПКД,експ.</t>
  </si>
  <si>
    <t>за 10 месяц</t>
  </si>
  <si>
    <t>1.4.</t>
  </si>
  <si>
    <t>1.5.</t>
  </si>
  <si>
    <t>подрібнювач деревини</t>
  </si>
  <si>
    <t>тракторний причеп</t>
  </si>
  <si>
    <t>7.18</t>
  </si>
  <si>
    <r>
      <t xml:space="preserve">вул </t>
    </r>
    <r>
      <rPr>
        <b/>
        <i/>
        <sz val="9"/>
        <rFont val="Arial"/>
        <family val="2"/>
      </rPr>
      <t>Калиниченка</t>
    </r>
  </si>
  <si>
    <t>7.19.</t>
  </si>
  <si>
    <r>
      <t xml:space="preserve">пров. </t>
    </r>
    <r>
      <rPr>
        <b/>
        <i/>
        <sz val="9"/>
        <rFont val="Arial"/>
        <family val="2"/>
      </rPr>
      <t>Піонерський</t>
    </r>
  </si>
  <si>
    <r>
      <t xml:space="preserve">вул. </t>
    </r>
    <r>
      <rPr>
        <b/>
        <i/>
        <sz val="9"/>
        <rFont val="Arial"/>
        <family val="2"/>
      </rPr>
      <t>Океанівська, 1-б</t>
    </r>
  </si>
  <si>
    <t>8.14</t>
  </si>
  <si>
    <r>
      <t xml:space="preserve">вул. </t>
    </r>
    <r>
      <rPr>
        <b/>
        <i/>
        <sz val="9"/>
        <rFont val="Arial"/>
        <family val="2"/>
      </rPr>
      <t>Океанівська, 16</t>
    </r>
  </si>
  <si>
    <t>8.15</t>
  </si>
  <si>
    <r>
      <t xml:space="preserve">пр. </t>
    </r>
    <r>
      <rPr>
        <b/>
        <i/>
        <sz val="9"/>
        <rFont val="Arial"/>
        <family val="2"/>
      </rPr>
      <t>Корабелів, 12-в</t>
    </r>
  </si>
  <si>
    <r>
      <t xml:space="preserve">мкр. </t>
    </r>
    <r>
      <rPr>
        <b/>
        <i/>
        <sz val="9"/>
        <rFont val="Arial"/>
        <family val="2"/>
      </rPr>
      <t>Причепівка</t>
    </r>
    <r>
      <rPr>
        <i/>
        <sz val="9"/>
        <rFont val="Arial"/>
        <family val="2"/>
      </rPr>
      <t xml:space="preserve"> (вул. Литовченка,Єсеніна, Клечова балка) </t>
    </r>
  </si>
  <si>
    <t>8.16</t>
  </si>
  <si>
    <r>
      <t xml:space="preserve">вул. </t>
    </r>
    <r>
      <rPr>
        <b/>
        <i/>
        <sz val="9"/>
        <rFont val="Arial"/>
        <family val="2"/>
      </rPr>
      <t>Океанівська, 38</t>
    </r>
  </si>
  <si>
    <t>2.14.</t>
  </si>
  <si>
    <r>
      <t xml:space="preserve">вул. </t>
    </r>
    <r>
      <rPr>
        <b/>
        <i/>
        <sz val="9"/>
        <rFont val="Arial"/>
        <family val="2"/>
      </rPr>
      <t>Некрасова</t>
    </r>
  </si>
  <si>
    <t>2.15.</t>
  </si>
  <si>
    <r>
      <t xml:space="preserve">вул. </t>
    </r>
    <r>
      <rPr>
        <b/>
        <i/>
        <sz val="9"/>
        <rFont val="Arial"/>
        <family val="2"/>
      </rPr>
      <t xml:space="preserve">Костя Гордієнка </t>
    </r>
    <r>
      <rPr>
        <i/>
        <sz val="9"/>
        <rFont val="Arial"/>
        <family val="2"/>
      </rPr>
      <t>та вул Княжа (вздовж ЗОШ №49)</t>
    </r>
  </si>
  <si>
    <r>
      <t>вул.</t>
    </r>
    <r>
      <rPr>
        <b/>
        <sz val="10"/>
        <rFont val="Arial"/>
        <family val="2"/>
      </rPr>
      <t xml:space="preserve"> Глинки, 5, 7</t>
    </r>
    <r>
      <rPr>
        <sz val="10"/>
        <rFont val="Arial"/>
        <family val="2"/>
      </rPr>
      <t xml:space="preserve"> (огорожа)</t>
    </r>
  </si>
  <si>
    <r>
      <t>вул.</t>
    </r>
    <r>
      <rPr>
        <b/>
        <sz val="10"/>
        <rFont val="Arial"/>
        <family val="2"/>
      </rPr>
      <t xml:space="preserve"> Металургів, 34</t>
    </r>
  </si>
  <si>
    <r>
      <t>вул</t>
    </r>
    <r>
      <rPr>
        <b/>
        <sz val="10"/>
        <rFont val="Arial"/>
        <family val="2"/>
      </rPr>
      <t>. Самойловича, 30, 30а, 30б</t>
    </r>
  </si>
  <si>
    <r>
      <t>вул.</t>
    </r>
    <r>
      <rPr>
        <b/>
        <sz val="10"/>
        <rFont val="Arial"/>
        <family val="2"/>
      </rPr>
      <t xml:space="preserve"> Тернопільська, 79а</t>
    </r>
  </si>
  <si>
    <t>2.16.</t>
  </si>
  <si>
    <r>
      <t xml:space="preserve">вул. </t>
    </r>
    <r>
      <rPr>
        <b/>
        <i/>
        <sz val="9"/>
        <rFont val="Arial"/>
        <family val="2"/>
      </rPr>
      <t xml:space="preserve">Металургів </t>
    </r>
    <r>
      <rPr>
        <i/>
        <sz val="9"/>
        <rFont val="Arial"/>
        <family val="2"/>
      </rPr>
      <t>від вул Рильського до вул. Нац.ї гвардії</t>
    </r>
  </si>
  <si>
    <t>2.17.</t>
  </si>
  <si>
    <r>
      <t xml:space="preserve">вул. </t>
    </r>
    <r>
      <rPr>
        <b/>
        <i/>
        <sz val="9"/>
        <rFont val="Arial"/>
        <family val="2"/>
      </rPr>
      <t xml:space="preserve">Л.Українки </t>
    </r>
    <r>
      <rPr>
        <i/>
        <sz val="9"/>
        <rFont val="Arial"/>
        <family val="2"/>
      </rPr>
      <t>від вул. Тернопільської до вул. Святотроїцької</t>
    </r>
  </si>
  <si>
    <t>топографічна зйомка</t>
  </si>
  <si>
    <t>9.5.</t>
  </si>
  <si>
    <r>
      <t>вул.</t>
    </r>
    <r>
      <rPr>
        <b/>
        <i/>
        <sz val="9"/>
        <rFont val="Arial"/>
        <family val="2"/>
      </rPr>
      <t xml:space="preserve"> Національної гвардії</t>
    </r>
    <r>
      <rPr>
        <i/>
        <sz val="9"/>
        <rFont val="Arial"/>
        <family val="2"/>
      </rPr>
      <t xml:space="preserve"> від вул. Новобудівної до вул. Самойловича (вздовж гаражів)</t>
    </r>
  </si>
  <si>
    <t>ноябрь</t>
  </si>
  <si>
    <t>вул. Океанівська, 28, Богоявленський, 340/2</t>
  </si>
  <si>
    <t>ТОВ "Наш південний край"</t>
  </si>
  <si>
    <t>вул. Ленінградська, 1а, 1б, 1в</t>
  </si>
  <si>
    <t>вул. Вокзальна, 59</t>
  </si>
  <si>
    <t>вул. Океанівська, 1, 1а</t>
  </si>
  <si>
    <t>пр. Корабелів, 12</t>
  </si>
  <si>
    <t>вул. Айвазовського, 3</t>
  </si>
  <si>
    <t>пр. Корабелів, 12- б (огорожа)</t>
  </si>
  <si>
    <t>пр. Корабелів 12-б (планування)</t>
  </si>
  <si>
    <t>ПП СТЕГ</t>
  </si>
  <si>
    <t>вул. Глінки, 3</t>
  </si>
  <si>
    <r>
      <t>Поточний ремонт водогону по вул.</t>
    </r>
    <r>
      <rPr>
        <b/>
        <i/>
        <sz val="10"/>
        <rFont val="Arial"/>
        <family val="2"/>
      </rPr>
      <t xml:space="preserve"> Попеля </t>
    </r>
  </si>
  <si>
    <t>9.6</t>
  </si>
  <si>
    <t>вул. Рибна від вул. Ольшанців до вул. Торгової</t>
  </si>
  <si>
    <t>вул. Торгова від вул. Рильського до Обїзної дороги</t>
  </si>
  <si>
    <t>7.22</t>
  </si>
  <si>
    <t>вул. Національної гвардії від Новобудівної до Самойлов.</t>
  </si>
  <si>
    <t>7.23</t>
  </si>
  <si>
    <t>7.24</t>
  </si>
  <si>
    <t>7.25</t>
  </si>
  <si>
    <t>вул. Л.Українки від Лазарева до Святотроїцької</t>
  </si>
  <si>
    <t>8.23</t>
  </si>
  <si>
    <t>вул. Океанівська, 8</t>
  </si>
  <si>
    <t>8.24</t>
  </si>
  <si>
    <t>пр. Корабелів, 2-вул. Айвазовського, 7</t>
  </si>
  <si>
    <t>8.25</t>
  </si>
  <si>
    <t>8.26</t>
  </si>
  <si>
    <t>8.27</t>
  </si>
  <si>
    <t>вул. Океанівська, 22</t>
  </si>
  <si>
    <t>вул. Океанівська, 46</t>
  </si>
  <si>
    <t>8.28</t>
  </si>
  <si>
    <t>вул. Океанівська, 48/50</t>
  </si>
  <si>
    <t>8.29</t>
  </si>
  <si>
    <t>вул. О.Вишні, 93/1</t>
  </si>
  <si>
    <t>8.30</t>
  </si>
  <si>
    <t>вул. Тернопільська, 79б</t>
  </si>
  <si>
    <t>8.31</t>
  </si>
  <si>
    <t>вул. Айвазавського,5а</t>
  </si>
  <si>
    <t>8.32</t>
  </si>
  <si>
    <t>вул. Океанівська, 62</t>
  </si>
  <si>
    <t>ТОВ "УСО"</t>
  </si>
  <si>
    <t>3.6</t>
  </si>
  <si>
    <t>3.7</t>
  </si>
  <si>
    <r>
      <t xml:space="preserve">Зупинний павільйон громадського транспорту по непарній стороні вул. Прибузькій у районі буд. № 87 у м. Миколаєві, зупинка </t>
    </r>
    <r>
      <rPr>
        <b/>
        <sz val="9"/>
        <rFont val="Arial"/>
        <family val="2"/>
      </rPr>
      <t xml:space="preserve">«Станція юннатів» </t>
    </r>
    <r>
      <rPr>
        <sz val="9"/>
        <rFont val="Arial"/>
        <family val="2"/>
      </rPr>
      <t>(капітальний ремонт).</t>
    </r>
  </si>
  <si>
    <r>
      <t xml:space="preserve">Зупинний павільйон громадського транспорту по непарній стороні вул. Прибузькій , зупинка </t>
    </r>
    <r>
      <rPr>
        <b/>
        <sz val="9"/>
        <rFont val="Arial"/>
        <family val="2"/>
      </rPr>
      <t xml:space="preserve">«вул. Лиманська» </t>
    </r>
    <r>
      <rPr>
        <sz val="9"/>
        <rFont val="Arial"/>
        <family val="2"/>
      </rPr>
      <t>(капітальний ремонт).</t>
    </r>
  </si>
  <si>
    <t>3.8</t>
  </si>
  <si>
    <r>
      <t xml:space="preserve">Зупинний павільйон громадського транспорту по вул. Степовій , зупинка </t>
    </r>
    <r>
      <rPr>
        <b/>
        <sz val="9"/>
        <rFont val="Arial"/>
        <family val="2"/>
      </rPr>
      <t xml:space="preserve">«ПМК» </t>
    </r>
    <r>
      <rPr>
        <sz val="9"/>
        <rFont val="Arial"/>
        <family val="2"/>
      </rPr>
      <t>(капітальний ремонт).</t>
    </r>
  </si>
  <si>
    <t>3.9</t>
  </si>
  <si>
    <r>
      <t xml:space="preserve">Зупинний павільйон громадського транспорту парна сторона по вул. Степовій , зупинка </t>
    </r>
    <r>
      <rPr>
        <b/>
        <sz val="9"/>
        <rFont val="Arial"/>
        <family val="2"/>
      </rPr>
      <t xml:space="preserve">«Єсеніна" </t>
    </r>
    <r>
      <rPr>
        <sz val="9"/>
        <rFont val="Arial"/>
        <family val="2"/>
      </rPr>
      <t>(капітальний ремонт).</t>
    </r>
  </si>
  <si>
    <r>
      <t xml:space="preserve">Зупинний павільйон громадського транспорту непарна сторона по вул. Степовій , зупинка </t>
    </r>
    <r>
      <rPr>
        <b/>
        <sz val="9"/>
        <rFont val="Arial"/>
        <family val="2"/>
      </rPr>
      <t xml:space="preserve">«Єсеніна" </t>
    </r>
    <r>
      <rPr>
        <sz val="9"/>
        <rFont val="Arial"/>
        <family val="2"/>
      </rPr>
      <t>(капітальний ремонт).</t>
    </r>
  </si>
  <si>
    <t>3.10</t>
  </si>
  <si>
    <t>1.9</t>
  </si>
  <si>
    <t>вул. Ольжича від Богоявленського до № 71</t>
  </si>
  <si>
    <t>ФОП Гончаренко</t>
  </si>
  <si>
    <t>1.10</t>
  </si>
  <si>
    <t>вул. Ольжича від № 1 до " 5а</t>
  </si>
  <si>
    <t>1.11</t>
  </si>
  <si>
    <t>пров.. Л.Українки</t>
  </si>
  <si>
    <t>1.12</t>
  </si>
  <si>
    <t>вул. Янтарна</t>
  </si>
  <si>
    <t>вул. Жукова від Симферопольської до Рибної</t>
  </si>
  <si>
    <t>2.22</t>
  </si>
  <si>
    <t>вул. Чехова</t>
  </si>
  <si>
    <t>2.24</t>
  </si>
  <si>
    <t>вул. Львівська від О.Вишні до Г.Сагайдачного</t>
  </si>
  <si>
    <t>ФОП Ваховский</t>
  </si>
  <si>
    <t>2.25</t>
  </si>
  <si>
    <t>вул. І.Франка від Приміської до № 28</t>
  </si>
  <si>
    <t>2.26</t>
  </si>
  <si>
    <t>вул. Прибузька</t>
  </si>
  <si>
    <t>2.27</t>
  </si>
  <si>
    <t>вул. Приміська від Богоявленського до Толстого</t>
  </si>
  <si>
    <t>кг</t>
  </si>
  <si>
    <t>Сквер на перехресті Ленінградської та Богоявленськ.</t>
  </si>
  <si>
    <t>Нове будівництво спортивно-ігрового комплексу "Лінкор"</t>
  </si>
  <si>
    <t>Нове будівництво водогону по вул. Відродження (проектні роботи)</t>
  </si>
  <si>
    <t>2.28</t>
  </si>
  <si>
    <t>вул. Братська від № 106 до № 90</t>
  </si>
  <si>
    <t>2.29</t>
  </si>
  <si>
    <t>вул. Кобзарська від № 2 до "№ 2/6</t>
  </si>
  <si>
    <t>підготовчі</t>
  </si>
  <si>
    <t>вул. Рильського від вул.Балтійська до вул. Ольшанців</t>
  </si>
  <si>
    <t>вул. Рибна від вул. Ольшанців до вул. Янтарної</t>
  </si>
  <si>
    <t>вул. Рибна від вул. Родинної до вул. Гагаріна</t>
  </si>
  <si>
    <t>178729.08</t>
  </si>
  <si>
    <t>2.21.</t>
  </si>
  <si>
    <t>2.23</t>
  </si>
  <si>
    <t>бішофіт</t>
  </si>
  <si>
    <t>шансовий інструмент</t>
  </si>
  <si>
    <t>1.9.</t>
  </si>
  <si>
    <t>1.10.</t>
  </si>
  <si>
    <t>1.11.</t>
  </si>
  <si>
    <t>7.26</t>
  </si>
  <si>
    <t>вул. Рибна від Фонтанної до містка</t>
  </si>
  <si>
    <t>7.27</t>
  </si>
  <si>
    <t>вул. Ходирева</t>
  </si>
  <si>
    <t>1.12.</t>
  </si>
  <si>
    <t>1.13.</t>
  </si>
  <si>
    <t>1.14.</t>
  </si>
  <si>
    <t>1.15.</t>
  </si>
  <si>
    <t>1.16.</t>
  </si>
  <si>
    <t>пр. Богоявленський, 285</t>
  </si>
  <si>
    <t>1.17.</t>
  </si>
  <si>
    <t>вул. Знаменівська, 39</t>
  </si>
  <si>
    <t>10.6.</t>
  </si>
  <si>
    <t>пр. Богоявленський-вул. Л.Українки</t>
  </si>
  <si>
    <t>10.7.</t>
  </si>
  <si>
    <t>вул. О.Ольжича перехрестя з вул. Г.Попеля</t>
  </si>
  <si>
    <t>10.8.</t>
  </si>
  <si>
    <t>вул. Фонтанна, 72</t>
  </si>
  <si>
    <t>9.7.</t>
  </si>
  <si>
    <t>вул. Рильського від вул. Металургів до Балтійської</t>
  </si>
  <si>
    <t>вул. Толстого</t>
  </si>
  <si>
    <t>вул. Рильського в районі Торг7ової площі</t>
  </si>
  <si>
    <t>ТОВ Укрспецоборудование</t>
  </si>
  <si>
    <t>9.8.</t>
  </si>
  <si>
    <t>пр. Богоявленський (в районі зупинок)</t>
  </si>
  <si>
    <t>ТОВ "Ггідротехнології"</t>
  </si>
  <si>
    <t>13/63/47</t>
  </si>
  <si>
    <t>71/149/339</t>
  </si>
  <si>
    <t>84/212/386</t>
  </si>
  <si>
    <r>
      <t xml:space="preserve">Зупинний павільйон громадського транспорту по пр. Богоявленському на розі вул. Металургів у м. Миколаєві, зупинка </t>
    </r>
    <r>
      <rPr>
        <b/>
        <sz val="9"/>
        <rFont val="Arial"/>
        <family val="2"/>
      </rPr>
      <t>«Універсам»</t>
    </r>
    <r>
      <rPr>
        <sz val="9"/>
        <rFont val="Arial"/>
        <family val="2"/>
      </rPr>
      <t xml:space="preserve"> (капітальний ремонт). </t>
    </r>
  </si>
  <si>
    <t>виготовлення ПКД.</t>
  </si>
  <si>
    <r>
      <t xml:space="preserve">Зупинний павільйон громадського транспорту по парній стороні пр. Корабелів в районі перехрестя з вул. Айвазовського у м. Миколаєві, зупинка </t>
    </r>
    <r>
      <rPr>
        <b/>
        <sz val="9"/>
        <rFont val="Arial"/>
        <family val="2"/>
      </rPr>
      <t xml:space="preserve">«Казка» </t>
    </r>
    <r>
      <rPr>
        <sz val="9"/>
        <rFont val="Arial"/>
        <family val="2"/>
      </rPr>
      <t xml:space="preserve">(капітальний ремонт). </t>
    </r>
  </si>
  <si>
    <r>
      <t xml:space="preserve">Зупинний павільйон громадського транспорту по парній стороні пр. Корабелів в районі школи мистецтв, розташований за адресою: пр. Богоявленський, 232 у м. Миколаєві, зупинка </t>
    </r>
    <r>
      <rPr>
        <b/>
        <sz val="9"/>
        <rFont val="Arial"/>
        <family val="2"/>
      </rPr>
      <t>«Ринок»</t>
    </r>
    <r>
      <rPr>
        <sz val="9"/>
        <rFont val="Arial"/>
        <family val="2"/>
      </rPr>
      <t xml:space="preserve"> (капітальний ремонт). </t>
    </r>
  </si>
  <si>
    <r>
      <t xml:space="preserve">Зупинний павільйон громадського транспорту по непарній стороні пр. Богоявленського в районі будівлі № 279 у м. Миколаєві, зупинка </t>
    </r>
    <r>
      <rPr>
        <b/>
        <sz val="9"/>
        <rFont val="Arial"/>
        <family val="2"/>
      </rPr>
      <t xml:space="preserve">«Універмаг» </t>
    </r>
    <r>
      <rPr>
        <sz val="9"/>
        <rFont val="Arial"/>
        <family val="2"/>
      </rPr>
      <t xml:space="preserve">(капітальний ремонт). </t>
    </r>
  </si>
  <si>
    <r>
      <t xml:space="preserve">Зупинний павільйон громадського транспорту по парній стороні вул. 295-ої Стрілецької Дивізії біля залізничного переїзду у м. Миколаєві, зупинка </t>
    </r>
    <r>
      <rPr>
        <b/>
        <sz val="9"/>
        <rFont val="Arial"/>
        <family val="2"/>
      </rPr>
      <t xml:space="preserve">«Залізничний переїзд» </t>
    </r>
    <r>
      <rPr>
        <sz val="9"/>
        <rFont val="Arial"/>
        <family val="2"/>
      </rPr>
      <t>(капітальний ремонт).</t>
    </r>
  </si>
  <si>
    <t>2.18.</t>
  </si>
  <si>
    <r>
      <t xml:space="preserve">вул. </t>
    </r>
    <r>
      <rPr>
        <b/>
        <i/>
        <sz val="9"/>
        <rFont val="Arial"/>
        <family val="2"/>
      </rPr>
      <t xml:space="preserve">Балтійська </t>
    </r>
    <r>
      <rPr>
        <i/>
        <sz val="9"/>
        <rFont val="Arial"/>
        <family val="2"/>
      </rPr>
      <t>від №50 до №72</t>
    </r>
  </si>
  <si>
    <t>2.19.</t>
  </si>
  <si>
    <t>ТОВ "АГРІОНІКС"</t>
  </si>
  <si>
    <t>ТОВ "ЗАХІД_АГРОСЕРВІС ПЛЮС"</t>
  </si>
  <si>
    <t>ФОП Зайченко Т.Г.</t>
  </si>
  <si>
    <t>ФОП Кривицька Л.В.</t>
  </si>
  <si>
    <t>7.20.</t>
  </si>
  <si>
    <r>
      <t xml:space="preserve">вул. </t>
    </r>
    <r>
      <rPr>
        <b/>
        <i/>
        <sz val="9"/>
        <rFont val="Arial"/>
        <family val="2"/>
      </rPr>
      <t>Беляєва</t>
    </r>
    <r>
      <rPr>
        <i/>
        <sz val="9"/>
        <rFont val="Arial"/>
        <family val="2"/>
      </rPr>
      <t xml:space="preserve"> від вул. Рибна до берега</t>
    </r>
  </si>
  <si>
    <r>
      <t xml:space="preserve">вул. </t>
    </r>
    <r>
      <rPr>
        <b/>
        <i/>
        <sz val="9"/>
        <rFont val="Arial"/>
        <family val="2"/>
      </rPr>
      <t>Волкова</t>
    </r>
    <r>
      <rPr>
        <i/>
        <sz val="9"/>
        <rFont val="Arial"/>
        <family val="2"/>
      </rPr>
      <t xml:space="preserve"> від вул.Ударна до Об'їзної дороги</t>
    </r>
  </si>
  <si>
    <t>2.20.</t>
  </si>
  <si>
    <t>1.6.</t>
  </si>
  <si>
    <r>
      <t>вул.</t>
    </r>
    <r>
      <rPr>
        <b/>
        <sz val="10"/>
        <rFont val="Arial"/>
        <family val="2"/>
      </rPr>
      <t xml:space="preserve"> Артема, 24-26</t>
    </r>
  </si>
  <si>
    <t>секц.</t>
  </si>
  <si>
    <t>8.17</t>
  </si>
  <si>
    <r>
      <t xml:space="preserve">пр. </t>
    </r>
    <r>
      <rPr>
        <b/>
        <i/>
        <sz val="9"/>
        <rFont val="Arial"/>
        <family val="2"/>
      </rPr>
      <t>Корабелів, 20/1</t>
    </r>
  </si>
  <si>
    <t>8.18</t>
  </si>
  <si>
    <r>
      <t xml:space="preserve">пр. </t>
    </r>
    <r>
      <rPr>
        <b/>
        <i/>
        <sz val="9"/>
        <rFont val="Arial"/>
        <family val="2"/>
      </rPr>
      <t>Корабелів, 12-а</t>
    </r>
  </si>
  <si>
    <t>8.19</t>
  </si>
  <si>
    <r>
      <t xml:space="preserve">пр. </t>
    </r>
    <r>
      <rPr>
        <b/>
        <i/>
        <sz val="9"/>
        <rFont val="Arial"/>
        <family val="2"/>
      </rPr>
      <t>Корабелів, 12-б</t>
    </r>
  </si>
  <si>
    <r>
      <t xml:space="preserve">пр. </t>
    </r>
    <r>
      <rPr>
        <b/>
        <i/>
        <sz val="9"/>
        <rFont val="Arial"/>
        <family val="2"/>
      </rPr>
      <t>Корабелів, 16-а</t>
    </r>
  </si>
  <si>
    <t>8.20</t>
  </si>
  <si>
    <r>
      <t xml:space="preserve">вул. </t>
    </r>
    <r>
      <rPr>
        <b/>
        <i/>
        <sz val="9"/>
        <rFont val="Arial"/>
        <family val="2"/>
      </rPr>
      <t>Океанівська,18/2</t>
    </r>
  </si>
  <si>
    <t>8.21</t>
  </si>
  <si>
    <t>8.22</t>
  </si>
  <si>
    <r>
      <t xml:space="preserve">вул. </t>
    </r>
    <r>
      <rPr>
        <b/>
        <i/>
        <sz val="9"/>
        <rFont val="Arial"/>
        <family val="2"/>
      </rPr>
      <t>Океанівська,64</t>
    </r>
  </si>
  <si>
    <t>12</t>
  </si>
  <si>
    <t>Послуги з підмітання вулиць</t>
  </si>
  <si>
    <t>7.21.</t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</si>
  <si>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Рибна</t>
    </r>
    <r>
      <rPr>
        <sz val="10"/>
        <rFont val="Arial"/>
        <family val="2"/>
      </rPr>
      <t xml:space="preserve"> від вул. Ольшанців до вул. Янтарної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</si>
  <si>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Балтійська</t>
    </r>
    <r>
      <rPr>
        <sz val="10"/>
        <rFont val="Arial"/>
        <family val="2"/>
      </rPr>
      <t xml:space="preserve"> від вул. Рильського до вул. Уральської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</si>
  <si>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 xml:space="preserve">Рибна </t>
    </r>
    <r>
      <rPr>
        <sz val="10"/>
        <rFont val="Arial"/>
        <family val="2"/>
      </rPr>
      <t>від вул. Родинної (Коллонтай) до вул. Мендєлєєва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</si>
  <si>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Металургів</t>
    </r>
    <r>
      <rPr>
        <sz val="10"/>
        <rFont val="Arial"/>
        <family val="2"/>
      </rPr>
      <t xml:space="preserve"> від вул. Рильського до вул. Національної гвардії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</si>
  <si>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Львівська</t>
    </r>
  </si>
  <si>
    <r>
      <t>Капітальний ремонт дороги приватного сектору по вул.</t>
    </r>
    <r>
      <rPr>
        <b/>
        <sz val="10"/>
        <rFont val="Arial"/>
        <family val="2"/>
      </rPr>
      <t xml:space="preserve"> Рильського</t>
    </r>
    <r>
      <rPr>
        <sz val="10"/>
        <rFont val="Arial"/>
        <family val="2"/>
      </rPr>
      <t xml:space="preserve"> від вул. Балтійської до вул. Янтарної</t>
    </r>
  </si>
  <si>
    <r>
      <t>Капітальний ремонт дороги приватного сектору по вул.</t>
    </r>
    <r>
      <rPr>
        <b/>
        <sz val="10"/>
        <rFont val="Arial"/>
        <family val="2"/>
      </rPr>
      <t xml:space="preserve"> Некрасова</t>
    </r>
    <r>
      <rPr>
        <sz val="10"/>
        <rFont val="Arial"/>
        <family val="2"/>
      </rPr>
      <t xml:space="preserve"> </t>
    </r>
  </si>
  <si>
    <r>
      <t>Капітальний ремонт дороги приватного сектору по вул.</t>
    </r>
    <r>
      <rPr>
        <b/>
        <sz val="10"/>
        <rFont val="Arial"/>
        <family val="2"/>
      </rPr>
      <t xml:space="preserve"> Костя Гордієнка </t>
    </r>
    <r>
      <rPr>
        <sz val="10"/>
        <rFont val="Arial"/>
        <family val="2"/>
      </rPr>
      <t>та вул Княжа (вздовж ЗОШ №49)</t>
    </r>
  </si>
  <si>
    <r>
      <t>Поточний ремонт дороги приватного сектору по вул.</t>
    </r>
    <r>
      <rPr>
        <b/>
        <sz val="10"/>
        <rFont val="Arial"/>
        <family val="2"/>
      </rPr>
      <t xml:space="preserve"> Л. Українки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</si>
  <si>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Адм.Ушакова</t>
    </r>
    <r>
      <rPr>
        <sz val="10"/>
        <rFont val="Arial"/>
        <family val="2"/>
      </rPr>
      <t xml:space="preserve"> від вул Кобзарської до вул Ленінградської</t>
    </r>
  </si>
  <si>
    <r>
      <t xml:space="preserve">Капітальний ремонт дороги приватного сектору по вул. </t>
    </r>
    <r>
      <rPr>
        <b/>
        <sz val="10"/>
        <rFont val="Arial"/>
        <family val="2"/>
      </rPr>
      <t>Молодіжна</t>
    </r>
    <r>
      <rPr>
        <sz val="10"/>
        <rFont val="Arial"/>
        <family val="2"/>
      </rPr>
      <t xml:space="preserve"> від №29 до вул. Танкістів</t>
    </r>
  </si>
  <si>
    <t>В.В.Лялюк</t>
  </si>
  <si>
    <t>Заступник начальника відділу КГ та благоустрою</t>
  </si>
  <si>
    <r>
      <t xml:space="preserve">Поточний ремонт дороги приватного сектору по вул. </t>
    </r>
    <r>
      <rPr>
        <b/>
        <sz val="10"/>
        <rFont val="Arial"/>
        <family val="2"/>
      </rPr>
      <t>Толстого</t>
    </r>
  </si>
  <si>
    <r>
      <t xml:space="preserve">Ліквідація несанкціонованих звалищ., </t>
    </r>
    <r>
      <rPr>
        <sz val="10"/>
        <rFont val="Arial"/>
        <family val="2"/>
      </rPr>
      <t xml:space="preserve">у тому числі: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</si>
  <si>
    <r>
      <t xml:space="preserve">Дог.№50 від 25.04.2016р. - </t>
    </r>
    <r>
      <rPr>
        <sz val="10"/>
        <rFont val="Arial"/>
        <family val="2"/>
      </rPr>
      <t>296 195,48 грн.; Дод.угода №1 від 25.04.2016</t>
    </r>
    <r>
      <rPr>
        <b/>
        <sz val="10"/>
        <rFont val="Arial"/>
        <family val="2"/>
      </rPr>
      <t xml:space="preserve"> - 251 037,52 грн.</t>
    </r>
  </si>
  <si>
    <r>
      <t xml:space="preserve">Забезпечення ручного прибирання доріг та громадських місць ручним способом, </t>
    </r>
    <r>
      <rPr>
        <sz val="10"/>
        <rFont val="Arial"/>
        <family val="2"/>
      </rPr>
      <t xml:space="preserve">у тому числі: </t>
    </r>
    <r>
      <rPr>
        <b/>
        <sz val="10"/>
        <rFont val="Arial"/>
        <family val="2"/>
      </rPr>
      <t xml:space="preserve">                                                                                               </t>
    </r>
  </si>
  <si>
    <r>
      <t xml:space="preserve">Дог.№ 98 від 23.05.2016р. - </t>
    </r>
    <r>
      <rPr>
        <sz val="10"/>
        <rFont val="Arial"/>
        <family val="2"/>
      </rPr>
      <t>569 918,18 грн.;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Дод.угода №1 від 23.05.2016 -</t>
    </r>
    <r>
      <rPr>
        <b/>
        <sz val="10"/>
        <rFont val="Arial"/>
        <family val="2"/>
      </rPr>
      <t xml:space="preserve"> 511 488,08 </t>
    </r>
    <r>
      <rPr>
        <sz val="10"/>
        <rFont val="Arial"/>
        <family val="2"/>
      </rPr>
      <t>грн</t>
    </r>
    <r>
      <rPr>
        <b/>
        <sz val="10"/>
        <rFont val="Arial"/>
        <family val="2"/>
      </rPr>
      <t>.</t>
    </r>
  </si>
  <si>
    <r>
      <t xml:space="preserve">Вивезення опалого листя, гилок дерев, </t>
    </r>
    <r>
      <rPr>
        <sz val="10"/>
        <rFont val="Arial"/>
        <family val="2"/>
      </rPr>
      <t xml:space="preserve">у тому числі: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</t>
    </r>
  </si>
  <si>
    <r>
      <t>Дог. №43 від 07.04.2015 -</t>
    </r>
    <r>
      <rPr>
        <sz val="10"/>
        <rFont val="Arial"/>
        <family val="2"/>
      </rPr>
      <t xml:space="preserve"> 204 742,33 грн.; Дод.угода №1 від 30.12.2015 +20% (</t>
    </r>
    <r>
      <rPr>
        <b/>
        <sz val="10"/>
        <rFont val="Arial"/>
        <family val="2"/>
      </rPr>
      <t>40 931,65</t>
    </r>
    <r>
      <rPr>
        <sz val="10"/>
        <rFont val="Arial"/>
        <family val="2"/>
      </rPr>
      <t xml:space="preserve">грн.) - </t>
    </r>
    <r>
      <rPr>
        <b/>
        <sz val="10"/>
        <rFont val="Arial"/>
        <family val="2"/>
      </rPr>
      <t>245 673,98</t>
    </r>
    <r>
      <rPr>
        <sz val="10"/>
        <rFont val="Arial"/>
        <family val="2"/>
      </rPr>
      <t xml:space="preserve"> грн.   </t>
    </r>
    <r>
      <rPr>
        <b/>
        <sz val="10"/>
        <rFont val="Arial"/>
        <family val="2"/>
      </rPr>
      <t xml:space="preserve">                      </t>
    </r>
  </si>
  <si>
    <r>
      <t xml:space="preserve">Знесення, кронування, санітарна обрізка дерев, </t>
    </r>
    <r>
      <rPr>
        <sz val="10"/>
        <rFont val="Arial"/>
        <family val="2"/>
      </rPr>
      <t>у тому числі: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</t>
    </r>
  </si>
  <si>
    <r>
      <t>Дог.</t>
    </r>
    <r>
      <rPr>
        <b/>
        <sz val="10"/>
        <rFont val="Arial"/>
        <family val="2"/>
      </rPr>
      <t xml:space="preserve"> №96 від 19.05.2016 </t>
    </r>
    <r>
      <rPr>
        <sz val="10"/>
        <rFont val="Arial"/>
        <family val="2"/>
      </rPr>
      <t xml:space="preserve">- 530 583,97 грн.; Дод.угода №1 від 19.05.2016 - </t>
    </r>
    <r>
      <rPr>
        <b/>
        <sz val="10"/>
        <rFont val="Arial"/>
        <family val="2"/>
      </rPr>
      <t xml:space="preserve"> 517 489,32 </t>
    </r>
    <r>
      <rPr>
        <sz val="10"/>
        <rFont val="Arial"/>
        <family val="2"/>
      </rPr>
      <t>грн.</t>
    </r>
  </si>
  <si>
    <t>Найменування робіт</t>
  </si>
  <si>
    <t>Виконавець</t>
  </si>
  <si>
    <t>Один. виміру</t>
  </si>
  <si>
    <t>Об’єм робіт</t>
  </si>
  <si>
    <t>м2</t>
  </si>
  <si>
    <t>КЕКВ</t>
  </si>
  <si>
    <t>од.</t>
  </si>
  <si>
    <t>ВСЬОГО</t>
  </si>
  <si>
    <t>№№      з/п</t>
  </si>
  <si>
    <t>КТКВК</t>
  </si>
  <si>
    <t>февраль</t>
  </si>
  <si>
    <t>апрель</t>
  </si>
  <si>
    <t>июнь</t>
  </si>
  <si>
    <t>июль</t>
  </si>
  <si>
    <t>ОСВОЕНИЕ</t>
  </si>
  <si>
    <t>ручн.оч</t>
  </si>
  <si>
    <t>собаки</t>
  </si>
  <si>
    <t>свалки</t>
  </si>
  <si>
    <t>Всего за март</t>
  </si>
  <si>
    <t>Всего за февраль</t>
  </si>
  <si>
    <t>Всего за апрель</t>
  </si>
  <si>
    <t>Всего за май</t>
  </si>
  <si>
    <t>Всего за июнь</t>
  </si>
  <si>
    <t>Всего за июль</t>
  </si>
  <si>
    <t>МАФ</t>
  </si>
  <si>
    <t>деревья</t>
  </si>
  <si>
    <t>ТОВ "Миколаївзеленгосп"</t>
  </si>
  <si>
    <t xml:space="preserve">                                                                                                        ЗВІТ</t>
  </si>
  <si>
    <t xml:space="preserve">                                                                                                        про виконання фізичних об’ємів робіт</t>
  </si>
  <si>
    <t xml:space="preserve">                                                                                та про засвоєння бюджетних коштів  на утримання комунального </t>
  </si>
  <si>
    <t>август</t>
  </si>
  <si>
    <t>ручная уб.</t>
  </si>
  <si>
    <t>ФОП Барбалюк І.В.</t>
  </si>
  <si>
    <t>гром.раб.</t>
  </si>
  <si>
    <t>Всего за август</t>
  </si>
  <si>
    <t>гром.роб</t>
  </si>
  <si>
    <t>сентябрь</t>
  </si>
  <si>
    <t>ТЕНДЕР</t>
  </si>
  <si>
    <t>С.М.Синчук</t>
  </si>
  <si>
    <t>ДОВІДКА</t>
  </si>
  <si>
    <t xml:space="preserve">кредиторка, освоение и оплата  </t>
  </si>
  <si>
    <t>М.М.Волкан</t>
  </si>
  <si>
    <t>ручная</t>
  </si>
  <si>
    <t>май</t>
  </si>
  <si>
    <t>март</t>
  </si>
  <si>
    <t>проверка опл.</t>
  </si>
  <si>
    <t>малоценка</t>
  </si>
  <si>
    <r>
      <t>УКС</t>
    </r>
    <r>
      <rPr>
        <sz val="10"/>
        <rFont val="Arial Cyr"/>
        <family val="0"/>
      </rPr>
      <t xml:space="preserve"> 150101</t>
    </r>
  </si>
  <si>
    <t>покос газон.</t>
  </si>
  <si>
    <t>ФОП Кущ Є.В.</t>
  </si>
  <si>
    <t xml:space="preserve"> </t>
  </si>
  <si>
    <t>м3</t>
  </si>
  <si>
    <t>КП  ММР "Центр захисту тварин"</t>
  </si>
  <si>
    <t>заходи</t>
  </si>
  <si>
    <t>кредиторка/дебиторка</t>
  </si>
  <si>
    <t>закупка малоценка</t>
  </si>
  <si>
    <t>листя, гилки дерев</t>
  </si>
  <si>
    <t>снос МАФ</t>
  </si>
  <si>
    <t>аванс</t>
  </si>
  <si>
    <t>№      з/п</t>
  </si>
  <si>
    <t>трава</t>
  </si>
  <si>
    <t>освещ</t>
  </si>
  <si>
    <t>ветки,листья</t>
  </si>
  <si>
    <t>всего</t>
  </si>
  <si>
    <t>возврат</t>
  </si>
  <si>
    <t xml:space="preserve">І </t>
  </si>
  <si>
    <t>090501</t>
  </si>
  <si>
    <t>2111  /2120</t>
  </si>
  <si>
    <t>Підбір та кремація трупів тварин</t>
  </si>
  <si>
    <t>ІІ</t>
  </si>
  <si>
    <t>50% Адм.Кор.р-ну;                               50% Центр зайн. Кор.р-ну</t>
  </si>
  <si>
    <t>Сводная таблица 2016г.</t>
  </si>
  <si>
    <t>ручная уборка</t>
  </si>
  <si>
    <t>листья.ветки</t>
  </si>
  <si>
    <t>хозтовари гром роб</t>
  </si>
  <si>
    <t>ЗА І квартал</t>
  </si>
  <si>
    <t>ФОП Городецька Л.П.</t>
  </si>
  <si>
    <t>ІІІ</t>
  </si>
  <si>
    <r>
      <t>Придбання малоціних госп.товарів</t>
    </r>
    <r>
      <rPr>
        <sz val="10"/>
        <rFont val="Arial"/>
        <family val="2"/>
      </rPr>
      <t xml:space="preserve"> (д/гром.роб)</t>
    </r>
  </si>
  <si>
    <t>Кредитор. заборгов., грн.</t>
  </si>
  <si>
    <t>т/р освещ Жукова    раб</t>
  </si>
  <si>
    <t>т/р освещ Жукова     т/н</t>
  </si>
  <si>
    <t>т/р освещ Островкс   т/н</t>
  </si>
  <si>
    <t>т/р освещ Островск  раб</t>
  </si>
  <si>
    <t>с т/н</t>
  </si>
  <si>
    <t>листя, гілки дерев</t>
  </si>
  <si>
    <t>КП ГДМБ</t>
  </si>
  <si>
    <t>2</t>
  </si>
  <si>
    <t>3</t>
  </si>
  <si>
    <t>4</t>
  </si>
  <si>
    <t>5</t>
  </si>
  <si>
    <t>6</t>
  </si>
  <si>
    <t>ДЖКГ Управл.технагляду</t>
  </si>
  <si>
    <t>п.м / св.точ</t>
  </si>
  <si>
    <t>1</t>
  </si>
  <si>
    <t>об'ект</t>
  </si>
  <si>
    <t xml:space="preserve">       Синчук</t>
  </si>
  <si>
    <t xml:space="preserve">  Начальник відділу комунального господарства, благоустрою та санітарного очищення</t>
  </si>
  <si>
    <r>
      <t xml:space="preserve">Забезпечення функціонування мереж зовнішнього освітлення.  </t>
    </r>
    <r>
      <rPr>
        <b/>
        <sz val="9"/>
        <rFont val="Arial"/>
        <family val="2"/>
      </rPr>
      <t xml:space="preserve">Поточний ремонт мереж вуличного освітлення, </t>
    </r>
    <r>
      <rPr>
        <sz val="9"/>
        <rFont val="Arial"/>
        <family val="2"/>
      </rPr>
      <t>у тому числі:</t>
    </r>
  </si>
  <si>
    <t>Дебітор. заборгов., грн.</t>
  </si>
  <si>
    <r>
      <t xml:space="preserve">Касові видатки,             </t>
    </r>
    <r>
      <rPr>
        <b/>
        <sz val="10"/>
        <rFont val="Arial"/>
        <family val="2"/>
      </rPr>
      <t>грн</t>
    </r>
    <r>
      <rPr>
        <b/>
        <sz val="11"/>
        <rFont val="Arial"/>
        <family val="2"/>
      </rPr>
      <t xml:space="preserve">. </t>
    </r>
  </si>
  <si>
    <t>Виконано робіт,            грн.</t>
  </si>
  <si>
    <r>
  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  </r>
    <r>
      <rPr>
        <sz val="10"/>
        <rFont val="Arial"/>
        <family val="2"/>
      </rPr>
      <t>,                                                                                                                                                                                                     у тому числі:</t>
    </r>
  </si>
  <si>
    <r>
      <t xml:space="preserve">Адміністрація Корабельного району, </t>
    </r>
    <r>
      <rPr>
        <sz val="11"/>
        <rFont val="Arial"/>
        <family val="2"/>
      </rPr>
      <t>у тому числі:</t>
    </r>
  </si>
  <si>
    <t>Об’єм викон. робіт</t>
  </si>
  <si>
    <t>найменув.</t>
  </si>
  <si>
    <t>мех зимняя оч-ка дорог</t>
  </si>
  <si>
    <t>снос, крон, санобр.дерев</t>
  </si>
  <si>
    <t>т/р дорог Ольшанц  работа</t>
  </si>
  <si>
    <t>т/р дорог Львовск  работа</t>
  </si>
  <si>
    <t>т/р тротуар сквер Ленингр.</t>
  </si>
  <si>
    <t>т/р конт майданч самойлов</t>
  </si>
  <si>
    <t>т/р конт майданч корабел</t>
  </si>
  <si>
    <t xml:space="preserve">І-ІІ кв. </t>
  </si>
  <si>
    <t>7</t>
  </si>
  <si>
    <t>7.1</t>
  </si>
  <si>
    <t>7.2</t>
  </si>
  <si>
    <t>КП "ДКП -Обрій"</t>
  </si>
  <si>
    <t>кв.м/п.км</t>
  </si>
  <si>
    <t>Механізоване прибирання снігу</t>
  </si>
  <si>
    <r>
      <t xml:space="preserve">Поточний ремонт контейнерних майданчиків, </t>
    </r>
    <r>
      <rPr>
        <sz val="9"/>
        <rFont val="Arial"/>
        <family val="2"/>
      </rPr>
      <t>у тому числі:</t>
    </r>
  </si>
  <si>
    <t>8.1</t>
  </si>
  <si>
    <t>виконання робіт</t>
  </si>
  <si>
    <t>технічний нагляд</t>
  </si>
  <si>
    <t>Управл.т/н ДЖКГ</t>
  </si>
  <si>
    <t>8.2</t>
  </si>
  <si>
    <t>8.3</t>
  </si>
  <si>
    <t>9</t>
  </si>
  <si>
    <r>
      <t xml:space="preserve">Поточний ремонт доріг, </t>
    </r>
    <r>
      <rPr>
        <sz val="9"/>
        <rFont val="Arial"/>
        <family val="2"/>
      </rPr>
      <t>у тому числі:</t>
    </r>
  </si>
  <si>
    <t>вул. Ольшанців</t>
  </si>
  <si>
    <t>вул. Львівська</t>
  </si>
  <si>
    <t>ТОВ "Миколаївавтодор"</t>
  </si>
  <si>
    <t>10</t>
  </si>
  <si>
    <r>
      <t xml:space="preserve">Поточний ремонт тротуарів, </t>
    </r>
    <r>
      <rPr>
        <sz val="9"/>
        <rFont val="Arial"/>
        <family val="2"/>
      </rPr>
      <t>у тому числі:</t>
    </r>
  </si>
  <si>
    <t>7.3</t>
  </si>
  <si>
    <t>7.4</t>
  </si>
  <si>
    <t>7.5</t>
  </si>
  <si>
    <t>7.6</t>
  </si>
  <si>
    <t>т/н т/р конт майд.-3шт</t>
  </si>
  <si>
    <t>т/рем освещ. 2-й прибуз.</t>
  </si>
  <si>
    <t>т/рем освещ. Фонтанна</t>
  </si>
  <si>
    <t>т/рем освещ. Дибенка</t>
  </si>
  <si>
    <t>т/рем освещ. Беляева</t>
  </si>
  <si>
    <t>заробітна плата</t>
  </si>
  <si>
    <t>нарахування на оплату праці</t>
  </si>
  <si>
    <t>+2424,46</t>
  </si>
  <si>
    <t>ч.</t>
  </si>
  <si>
    <t>т/р дор Оранжер</t>
  </si>
  <si>
    <t>т/р дор. Прибугск</t>
  </si>
  <si>
    <t>к/р  дор Рибная пкд,експ</t>
  </si>
  <si>
    <t>к/р дор. Смірнова пкд,експ.</t>
  </si>
  <si>
    <t>к/р дор.Смірнова работа аванс</t>
  </si>
  <si>
    <t>к/р дор Рибная работа аванс</t>
  </si>
  <si>
    <t>к/р трот обїезная дор  работа аванс</t>
  </si>
  <si>
    <t>т/н освещ дибенка,фонтанна,2прибугск,беляева</t>
  </si>
  <si>
    <t>вернули</t>
  </si>
  <si>
    <t>листя.ветки</t>
  </si>
  <si>
    <t>т/р освещ Беляева №2</t>
  </si>
  <si>
    <t>т/р освещ Симфероп</t>
  </si>
  <si>
    <t>к/р дор Жукова аванс</t>
  </si>
  <si>
    <t>к/р дор Беляева аванс</t>
  </si>
  <si>
    <t>к/р  дор Галиц пкд,експ</t>
  </si>
  <si>
    <t>к/р дор Жукова пкд,експ</t>
  </si>
  <si>
    <t>к/р дор Беляева пкд,експ</t>
  </si>
  <si>
    <t>к/р  дор Клеч.балка пкд,експ</t>
  </si>
  <si>
    <t>т/н т/р 4шт (Приб.Львоск,Оранж,Олшанц)</t>
  </si>
  <si>
    <t>знес МАФ</t>
  </si>
  <si>
    <t>вул. Оранжерейна</t>
  </si>
  <si>
    <t>вул . Прибузька</t>
  </si>
  <si>
    <t>Проведення робіт, пов'язаних із будівництвом, реконструкцією, ремонтом та утриманням автомобільних доріг</t>
  </si>
  <si>
    <t>9.1</t>
  </si>
  <si>
    <t>1.1</t>
  </si>
  <si>
    <t>1.2</t>
  </si>
  <si>
    <t>1.3</t>
  </si>
  <si>
    <t>1.4</t>
  </si>
  <si>
    <r>
      <t xml:space="preserve">Капітальний ремонт міськіх доріг, </t>
    </r>
    <r>
      <rPr>
        <sz val="10"/>
        <rFont val="Arial"/>
        <family val="2"/>
      </rPr>
      <t>у тому числі:</t>
    </r>
  </si>
  <si>
    <t>2.1</t>
  </si>
  <si>
    <t>2.2.</t>
  </si>
  <si>
    <t>2.3</t>
  </si>
  <si>
    <t>2.4</t>
  </si>
  <si>
    <t>2.5</t>
  </si>
  <si>
    <t>2.6</t>
  </si>
  <si>
    <t>2.7</t>
  </si>
  <si>
    <t>2.8</t>
  </si>
  <si>
    <r>
      <t xml:space="preserve">Капітальний ремонт тротуарів, </t>
    </r>
    <r>
      <rPr>
        <sz val="9"/>
        <rFont val="Arial"/>
        <family val="2"/>
      </rPr>
      <t>у тому числі:</t>
    </r>
  </si>
  <si>
    <t>ПКД, експертиза</t>
  </si>
  <si>
    <r>
      <t>вул.</t>
    </r>
    <r>
      <rPr>
        <b/>
        <i/>
        <sz val="10"/>
        <color indexed="8"/>
        <rFont val="Arial"/>
        <family val="2"/>
      </rPr>
      <t xml:space="preserve"> Рибна</t>
    </r>
    <r>
      <rPr>
        <i/>
        <sz val="10"/>
        <color indexed="8"/>
        <rFont val="Arial"/>
        <family val="2"/>
      </rPr>
      <t xml:space="preserve"> від вул. Зорге до вул. Клечова балка</t>
    </r>
  </si>
  <si>
    <r>
      <t xml:space="preserve">пров. </t>
    </r>
    <r>
      <rPr>
        <b/>
        <i/>
        <sz val="9"/>
        <rFont val="Arial"/>
        <family val="2"/>
      </rPr>
      <t>Смірнова</t>
    </r>
  </si>
  <si>
    <r>
      <t>через сквер</t>
    </r>
    <r>
      <rPr>
        <i/>
        <sz val="9"/>
        <rFont val="Arial"/>
        <family val="2"/>
      </rPr>
      <t xml:space="preserve"> від вул. Ленінградської до пр. Богоявленського</t>
    </r>
  </si>
  <si>
    <t>3.1</t>
  </si>
  <si>
    <t>5.1</t>
  </si>
  <si>
    <t>3.2.</t>
  </si>
  <si>
    <t>4.1.</t>
  </si>
  <si>
    <t>4.2.</t>
  </si>
  <si>
    <t>6.1.</t>
  </si>
  <si>
    <t>6.2.</t>
  </si>
  <si>
    <t>5.2.</t>
  </si>
  <si>
    <t xml:space="preserve">              2015р.- 20%</t>
  </si>
  <si>
    <r>
      <t xml:space="preserve">Прибирання  та санітарна очистка зелених зон, тощо. </t>
    </r>
    <r>
      <rPr>
        <b/>
        <sz val="9"/>
        <rFont val="Arial"/>
        <family val="2"/>
      </rPr>
      <t>Вивезення опалого листя, гилок дерев</t>
    </r>
    <r>
      <rPr>
        <sz val="9"/>
        <rFont val="Arial"/>
        <family val="2"/>
      </rPr>
      <t>, у тому числі:</t>
    </r>
  </si>
  <si>
    <t>2016рік</t>
  </si>
  <si>
    <r>
      <t xml:space="preserve">Поточний ремонт мереж вуличного освітлення по вул. </t>
    </r>
    <r>
      <rPr>
        <b/>
        <i/>
        <sz val="9"/>
        <rFont val="Arial"/>
        <family val="2"/>
      </rPr>
      <t>Жукова</t>
    </r>
    <r>
      <rPr>
        <i/>
        <sz val="9"/>
        <rFont val="Arial"/>
        <family val="2"/>
      </rPr>
      <t xml:space="preserve"> від пр. Жовтневого до вул. Рибна в Корабельному районі м. Миколаєва:</t>
    </r>
  </si>
  <si>
    <r>
      <t xml:space="preserve">Поточний ремонт мереж вуличного освітлення по пров. </t>
    </r>
    <r>
      <rPr>
        <b/>
        <i/>
        <sz val="9"/>
        <rFont val="Arial"/>
        <family val="2"/>
      </rPr>
      <t>Островського</t>
    </r>
    <r>
      <rPr>
        <i/>
        <sz val="9"/>
        <rFont val="Arial"/>
        <family val="2"/>
      </rPr>
      <t xml:space="preserve"> в Корабельному районі м. Миколаєва:</t>
    </r>
  </si>
  <si>
    <r>
      <t>пров.</t>
    </r>
    <r>
      <rPr>
        <b/>
        <i/>
        <sz val="9"/>
        <rFont val="Arial"/>
        <family val="2"/>
      </rPr>
      <t>2-й Прибузький</t>
    </r>
  </si>
  <si>
    <r>
      <t xml:space="preserve">вул. </t>
    </r>
    <r>
      <rPr>
        <b/>
        <i/>
        <sz val="9"/>
        <rFont val="Arial"/>
        <family val="2"/>
      </rPr>
      <t>Фонтанна</t>
    </r>
    <r>
      <rPr>
        <i/>
        <sz val="9"/>
        <rFont val="Arial"/>
        <family val="2"/>
      </rPr>
      <t xml:space="preserve"> (до річки)</t>
    </r>
  </si>
  <si>
    <r>
      <t xml:space="preserve">вул. </t>
    </r>
    <r>
      <rPr>
        <b/>
        <i/>
        <sz val="9"/>
        <rFont val="Arial"/>
        <family val="2"/>
      </rPr>
      <t>Дибенка</t>
    </r>
  </si>
  <si>
    <r>
      <t>вул.</t>
    </r>
    <r>
      <rPr>
        <b/>
        <i/>
        <sz val="9"/>
        <rFont val="Arial"/>
        <family val="2"/>
      </rPr>
      <t xml:space="preserve"> Беляєва</t>
    </r>
    <r>
      <rPr>
        <i/>
        <sz val="9"/>
        <rFont val="Arial"/>
        <family val="2"/>
      </rPr>
      <t xml:space="preserve"> від пр. Богоявл. до б.№44</t>
    </r>
  </si>
  <si>
    <r>
      <t xml:space="preserve">вул. </t>
    </r>
    <r>
      <rPr>
        <b/>
        <i/>
        <sz val="9"/>
        <rFont val="Arial"/>
        <family val="2"/>
      </rPr>
      <t>Самойловича, 30б</t>
    </r>
  </si>
  <si>
    <r>
      <t xml:space="preserve">пр. </t>
    </r>
    <r>
      <rPr>
        <b/>
        <i/>
        <sz val="9"/>
        <rFont val="Arial"/>
        <family val="2"/>
      </rPr>
      <t>Корабелів, 18а</t>
    </r>
  </si>
  <si>
    <r>
      <t xml:space="preserve">вул. </t>
    </r>
    <r>
      <rPr>
        <b/>
        <i/>
        <sz val="9"/>
        <rFont val="Arial"/>
        <family val="2"/>
      </rPr>
      <t>Ленінградська, 3в</t>
    </r>
  </si>
  <si>
    <r>
      <t xml:space="preserve"> Ліквідація стихійних звалищ. </t>
    </r>
    <r>
      <rPr>
        <b/>
        <sz val="10"/>
        <color indexed="8"/>
        <rFont val="Arial"/>
        <family val="2"/>
      </rPr>
      <t>Ліквідація несанкціонованих звалищ,</t>
    </r>
    <r>
      <rPr>
        <sz val="10"/>
        <color indexed="8"/>
        <rFont val="Arial"/>
        <family val="2"/>
      </rPr>
      <t xml:space="preserve"> у тому числі:</t>
    </r>
  </si>
  <si>
    <t>7.7</t>
  </si>
  <si>
    <r>
      <t>вул.</t>
    </r>
    <r>
      <rPr>
        <b/>
        <i/>
        <sz val="9"/>
        <rFont val="Arial"/>
        <family val="2"/>
      </rPr>
      <t xml:space="preserve"> Симфропольська </t>
    </r>
    <r>
      <rPr>
        <i/>
        <sz val="9"/>
        <rFont val="Arial"/>
        <family val="2"/>
      </rPr>
      <t>від вул Кленової до віл. Липової</t>
    </r>
  </si>
  <si>
    <r>
      <t>вул.</t>
    </r>
    <r>
      <rPr>
        <b/>
        <i/>
        <sz val="10"/>
        <color indexed="8"/>
        <rFont val="Arial"/>
        <family val="2"/>
      </rPr>
      <t>Беляєва</t>
    </r>
    <r>
      <rPr>
        <i/>
        <sz val="10"/>
        <color indexed="8"/>
        <rFont val="Arial"/>
        <family val="2"/>
      </rPr>
      <t xml:space="preserve"> від  вул. Рибної до берегової зони</t>
    </r>
  </si>
  <si>
    <r>
      <t>вул.</t>
    </r>
    <r>
      <rPr>
        <b/>
        <i/>
        <sz val="10"/>
        <color indexed="8"/>
        <rFont val="Arial"/>
        <family val="2"/>
      </rPr>
      <t>Галіцинівська</t>
    </r>
  </si>
  <si>
    <r>
      <t xml:space="preserve">вул. </t>
    </r>
    <r>
      <rPr>
        <b/>
        <i/>
        <sz val="10"/>
        <color indexed="8"/>
        <rFont val="Arial"/>
        <family val="2"/>
      </rPr>
      <t>Клечова балка</t>
    </r>
    <r>
      <rPr>
        <i/>
        <sz val="10"/>
        <color indexed="8"/>
        <rFont val="Arial"/>
        <family val="2"/>
      </rPr>
      <t xml:space="preserve"> від №86 до вул. Фруктової</t>
    </r>
  </si>
  <si>
    <r>
      <t>Організація та проведення громадських робіт</t>
    </r>
    <r>
      <rPr>
        <sz val="10"/>
        <rFont val="Arial"/>
        <family val="2"/>
      </rPr>
      <t>, у тому числі:</t>
    </r>
  </si>
  <si>
    <r>
      <t xml:space="preserve">вул. </t>
    </r>
    <r>
      <rPr>
        <b/>
        <i/>
        <sz val="10"/>
        <color indexed="8"/>
        <rFont val="Arial"/>
        <family val="2"/>
      </rPr>
      <t xml:space="preserve">Автомобільна </t>
    </r>
    <r>
      <rPr>
        <i/>
        <sz val="10"/>
        <color indexed="8"/>
        <rFont val="Arial"/>
        <family val="2"/>
      </rPr>
      <t>ріг пр. Богоявленського</t>
    </r>
  </si>
  <si>
    <t>т/р дренажн споруд</t>
  </si>
  <si>
    <t>т/рем дор Колективн работа</t>
  </si>
  <si>
    <t>т/рем дор 5Колективн работа</t>
  </si>
  <si>
    <t>т/н т/рем дор 5Приб,Колективн</t>
  </si>
  <si>
    <t>т/р освещ Пшеницина раб</t>
  </si>
  <si>
    <t>тек рем трот раб богоявл.</t>
  </si>
  <si>
    <t>тек рем осв Попеля раб</t>
  </si>
  <si>
    <t>тек рем осв Б.Хмельницкраб</t>
  </si>
  <si>
    <t>янв-май</t>
  </si>
  <si>
    <t>тек рем водогону</t>
  </si>
  <si>
    <t>І полугодие</t>
  </si>
  <si>
    <r>
      <t xml:space="preserve">Поточний ремонт дренажних споруд, </t>
    </r>
    <r>
      <rPr>
        <sz val="9"/>
        <rFont val="Arial"/>
        <family val="2"/>
      </rPr>
      <t>у тому числі:</t>
    </r>
  </si>
  <si>
    <t>10.1.</t>
  </si>
  <si>
    <t>ТОВ "Укрспецоборудование"</t>
  </si>
  <si>
    <t>1.5</t>
  </si>
  <si>
    <t>пров. 5-й Прибузький</t>
  </si>
  <si>
    <t>1.6</t>
  </si>
  <si>
    <t>пров. Колективний</t>
  </si>
  <si>
    <t>7.8</t>
  </si>
  <si>
    <r>
      <t>вул.</t>
    </r>
    <r>
      <rPr>
        <b/>
        <i/>
        <sz val="9"/>
        <rFont val="Arial"/>
        <family val="2"/>
      </rPr>
      <t xml:space="preserve"> Пшеніцина</t>
    </r>
    <r>
      <rPr>
        <i/>
        <sz val="9"/>
        <rFont val="Arial"/>
        <family val="2"/>
      </rPr>
      <t>від вул Січових Стрільців до вул. Гетьмана Мазепи</t>
    </r>
  </si>
  <si>
    <t>7.9</t>
  </si>
  <si>
    <r>
      <t xml:space="preserve">Знесення самовільно встановленних МАФ, </t>
    </r>
    <r>
      <rPr>
        <sz val="10"/>
        <color indexed="8"/>
        <rFont val="Arial"/>
        <family val="2"/>
      </rPr>
      <t>у т.ч.:</t>
    </r>
  </si>
  <si>
    <t xml:space="preserve">КП "Обрій -ДКП" </t>
  </si>
  <si>
    <t>Покіс газонів</t>
  </si>
  <si>
    <t>Збереження та утримання на належному рівні зеленої зони населеного пункту та полипшення його екологічних умов, у тому числі:</t>
  </si>
  <si>
    <t>Знесення, кронування, сан. обрізка дерев, у т.ч.:</t>
  </si>
  <si>
    <r>
      <t>вул.</t>
    </r>
    <r>
      <rPr>
        <b/>
        <i/>
        <sz val="9"/>
        <rFont val="Arial"/>
        <family val="2"/>
      </rPr>
      <t>Попеля</t>
    </r>
    <r>
      <rPr>
        <i/>
        <sz val="9"/>
        <rFont val="Arial"/>
        <family val="2"/>
      </rPr>
      <t xml:space="preserve"> від вул.Л.Українки до вул.Тініста</t>
    </r>
  </si>
  <si>
    <t>7.10</t>
  </si>
  <si>
    <r>
      <t>вул.</t>
    </r>
    <r>
      <rPr>
        <b/>
        <i/>
        <sz val="9"/>
        <rFont val="Arial"/>
        <family val="2"/>
      </rPr>
      <t xml:space="preserve"> Б.Хмельницкого</t>
    </r>
  </si>
  <si>
    <r>
      <t>вул.</t>
    </r>
    <r>
      <rPr>
        <b/>
        <i/>
        <sz val="10"/>
        <color indexed="8"/>
        <rFont val="Arial"/>
        <family val="2"/>
      </rPr>
      <t>Жукова</t>
    </r>
    <r>
      <rPr>
        <i/>
        <sz val="10"/>
        <color indexed="8"/>
        <rFont val="Arial"/>
        <family val="2"/>
      </rPr>
      <t xml:space="preserve"> від пр. Богоявленського до вул.Симферопольськ.</t>
    </r>
  </si>
  <si>
    <t>9.2.</t>
  </si>
  <si>
    <r>
      <t>пр.</t>
    </r>
    <r>
      <rPr>
        <b/>
        <i/>
        <sz val="9"/>
        <rFont val="Arial"/>
        <family val="2"/>
      </rPr>
      <t xml:space="preserve">Богоявленський  </t>
    </r>
    <r>
      <rPr>
        <i/>
        <sz val="9"/>
        <rFont val="Arial"/>
        <family val="2"/>
      </rPr>
      <t>у мкр.Ш.Балка</t>
    </r>
  </si>
  <si>
    <r>
      <t xml:space="preserve"> вул </t>
    </r>
    <r>
      <rPr>
        <b/>
        <sz val="9"/>
        <rFont val="Arial"/>
        <family val="2"/>
      </rPr>
      <t>Айвазовського</t>
    </r>
    <r>
      <rPr>
        <sz val="9"/>
        <rFont val="Arial"/>
        <family val="2"/>
      </rPr>
      <t xml:space="preserve"> ріг вул Кобзарська (вул Командарма Уборевича)</t>
    </r>
  </si>
  <si>
    <r>
      <t xml:space="preserve">об'їздна дорога </t>
    </r>
    <r>
      <rPr>
        <sz val="9"/>
        <rFont val="Arial"/>
        <family val="2"/>
      </rPr>
      <t>від вул. Фруктової до вул. Волкова</t>
    </r>
  </si>
  <si>
    <t>к/р детск площ Айваз,5а работа</t>
  </si>
  <si>
    <t>к/р детск площ Радужн,61 работа</t>
  </si>
  <si>
    <t>к/р дор Гаалиц раб аванс</t>
  </si>
  <si>
    <t>к/р дор Клечова балка раб аванс</t>
  </si>
  <si>
    <t>к/р дор Автомоб раб аванс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</si>
</sst>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"/>
    <numFmt numFmtId="182" formatCode="#,##0.00000"/>
    <numFmt numFmtId="183" formatCode="0.000"/>
    <numFmt numFmtId="184" formatCode="[$-FC19]d\ mmmm\ yyyy\ &quot;г.&quot;"/>
    <numFmt numFmtId="185" formatCode="0.0000"/>
    <numFmt numFmtId="186" formatCode="0.00000"/>
    <numFmt numFmtId="187" formatCode="0.000000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22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4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name val="Arial Cyr"/>
      <family val="0"/>
    </font>
    <font>
      <b/>
      <sz val="9"/>
      <name val="Arial Cyr"/>
      <family val="0"/>
    </font>
    <font>
      <b/>
      <i/>
      <sz val="12"/>
      <name val="Times New Roman"/>
      <family val="1"/>
    </font>
    <font>
      <i/>
      <sz val="9"/>
      <name val="Arial Cyr"/>
      <family val="0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36"/>
      <name val="Arial"/>
      <family val="2"/>
    </font>
    <font>
      <sz val="2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1565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1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10" borderId="0" xfId="0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22" borderId="14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22" borderId="0" xfId="0" applyFill="1" applyBorder="1" applyAlignment="1">
      <alignment/>
    </xf>
    <xf numFmtId="0" fontId="0" fillId="3" borderId="0" xfId="0" applyFill="1" applyAlignment="1">
      <alignment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8" borderId="0" xfId="0" applyFill="1" applyAlignment="1">
      <alignment/>
    </xf>
    <xf numFmtId="0" fontId="0" fillId="25" borderId="0" xfId="0" applyFill="1" applyAlignment="1">
      <alignment/>
    </xf>
    <xf numFmtId="0" fontId="2" fillId="22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26" borderId="14" xfId="0" applyFont="1" applyFill="1" applyBorder="1" applyAlignment="1">
      <alignment/>
    </xf>
    <xf numFmtId="0" fontId="2" fillId="27" borderId="14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3" borderId="16" xfId="0" applyFill="1" applyBorder="1" applyAlignment="1">
      <alignment/>
    </xf>
    <xf numFmtId="2" fontId="0" fillId="0" borderId="0" xfId="0" applyNumberFormat="1" applyAlignment="1">
      <alignment/>
    </xf>
    <xf numFmtId="0" fontId="2" fillId="20" borderId="14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85" fontId="0" fillId="3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/>
    </xf>
    <xf numFmtId="4" fontId="22" fillId="0" borderId="19" xfId="0" applyNumberFormat="1" applyFont="1" applyBorder="1" applyAlignment="1">
      <alignment vertical="center" textRotation="90"/>
    </xf>
    <xf numFmtId="0" fontId="1" fillId="0" borderId="16" xfId="0" applyFont="1" applyBorder="1" applyAlignment="1">
      <alignment/>
    </xf>
    <xf numFmtId="4" fontId="0" fillId="0" borderId="0" xfId="0" applyNumberFormat="1" applyAlignment="1">
      <alignment horizontal="center"/>
    </xf>
    <xf numFmtId="4" fontId="0" fillId="22" borderId="14" xfId="0" applyNumberFormat="1" applyFill="1" applyBorder="1" applyAlignment="1">
      <alignment/>
    </xf>
    <xf numFmtId="4" fontId="0" fillId="3" borderId="14" xfId="0" applyNumberFormat="1" applyFill="1" applyBorder="1" applyAlignment="1">
      <alignment/>
    </xf>
    <xf numFmtId="4" fontId="0" fillId="20" borderId="14" xfId="0" applyNumberFormat="1" applyFill="1" applyBorder="1" applyAlignment="1">
      <alignment/>
    </xf>
    <xf numFmtId="4" fontId="0" fillId="8" borderId="14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3" fontId="0" fillId="8" borderId="14" xfId="0" applyNumberFormat="1" applyFill="1" applyBorder="1" applyAlignment="1">
      <alignment/>
    </xf>
    <xf numFmtId="4" fontId="0" fillId="0" borderId="14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20" borderId="11" xfId="0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4" fontId="22" fillId="0" borderId="19" xfId="0" applyNumberFormat="1" applyFont="1" applyBorder="1" applyAlignment="1">
      <alignment horizontal="center" vertical="center" textRotation="90"/>
    </xf>
    <xf numFmtId="0" fontId="0" fillId="5" borderId="0" xfId="0" applyFill="1" applyAlignment="1">
      <alignment/>
    </xf>
    <xf numFmtId="4" fontId="0" fillId="5" borderId="14" xfId="0" applyNumberForma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 horizontal="center"/>
    </xf>
    <xf numFmtId="4" fontId="16" fillId="0" borderId="18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Border="1" applyAlignment="1">
      <alignment vertical="center" textRotation="90"/>
    </xf>
    <xf numFmtId="4" fontId="8" fillId="0" borderId="18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8" fillId="0" borderId="19" xfId="0" applyNumberFormat="1" applyFont="1" applyFill="1" applyBorder="1" applyAlignment="1">
      <alignment horizontal="center"/>
    </xf>
    <xf numFmtId="181" fontId="8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2" fillId="22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26" borderId="0" xfId="0" applyFill="1" applyAlignment="1">
      <alignment/>
    </xf>
    <xf numFmtId="4" fontId="0" fillId="26" borderId="14" xfId="0" applyNumberFormat="1" applyFont="1" applyFill="1" applyBorder="1" applyAlignment="1">
      <alignment/>
    </xf>
    <xf numFmtId="4" fontId="0" fillId="26" borderId="14" xfId="0" applyNumberFormat="1" applyFill="1" applyBorder="1" applyAlignment="1">
      <alignment/>
    </xf>
    <xf numFmtId="4" fontId="0" fillId="3" borderId="22" xfId="0" applyNumberFormat="1" applyFill="1" applyBorder="1" applyAlignment="1">
      <alignment/>
    </xf>
    <xf numFmtId="1" fontId="0" fillId="26" borderId="0" xfId="0" applyNumberFormat="1" applyFill="1" applyAlignment="1">
      <alignment/>
    </xf>
    <xf numFmtId="0" fontId="0" fillId="27" borderId="23" xfId="0" applyFill="1" applyBorder="1" applyAlignment="1">
      <alignment/>
    </xf>
    <xf numFmtId="4" fontId="0" fillId="27" borderId="24" xfId="0" applyNumberFormat="1" applyFill="1" applyBorder="1" applyAlignment="1">
      <alignment/>
    </xf>
    <xf numFmtId="0" fontId="0" fillId="11" borderId="0" xfId="0" applyFill="1" applyAlignment="1">
      <alignment/>
    </xf>
    <xf numFmtId="0" fontId="0" fillId="25" borderId="0" xfId="0" applyFill="1" applyBorder="1" applyAlignment="1">
      <alignment/>
    </xf>
    <xf numFmtId="4" fontId="0" fillId="11" borderId="14" xfId="0" applyNumberFormat="1" applyFill="1" applyBorder="1" applyAlignment="1">
      <alignment/>
    </xf>
    <xf numFmtId="0" fontId="2" fillId="22" borderId="0" xfId="0" applyFont="1" applyFill="1" applyAlignment="1">
      <alignment/>
    </xf>
    <xf numFmtId="0" fontId="2" fillId="22" borderId="0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25" borderId="14" xfId="0" applyFont="1" applyFill="1" applyBorder="1" applyAlignment="1">
      <alignment/>
    </xf>
    <xf numFmtId="0" fontId="14" fillId="5" borderId="0" xfId="0" applyFont="1" applyFill="1" applyAlignment="1">
      <alignment horizontal="right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18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4" xfId="0" applyNumberFormat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25" borderId="14" xfId="0" applyFont="1" applyFill="1" applyBorder="1" applyAlignment="1">
      <alignment vertical="center"/>
    </xf>
    <xf numFmtId="4" fontId="22" fillId="0" borderId="18" xfId="0" applyNumberFormat="1" applyFont="1" applyBorder="1" applyAlignment="1">
      <alignment vertical="center" textRotation="90"/>
    </xf>
    <xf numFmtId="0" fontId="0" fillId="10" borderId="0" xfId="0" applyFont="1" applyFill="1" applyBorder="1" applyAlignment="1">
      <alignment horizontal="right"/>
    </xf>
    <xf numFmtId="0" fontId="1" fillId="0" borderId="25" xfId="0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181" fontId="8" fillId="0" borderId="18" xfId="0" applyNumberFormat="1" applyFont="1" applyFill="1" applyBorder="1" applyAlignment="1">
      <alignment horizontal="center" vertical="center"/>
    </xf>
    <xf numFmtId="172" fontId="8" fillId="0" borderId="18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8" borderId="14" xfId="0" applyFont="1" applyFill="1" applyBorder="1" applyAlignment="1">
      <alignment vertical="center"/>
    </xf>
    <xf numFmtId="4" fontId="1" fillId="0" borderId="14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4" fontId="0" fillId="0" borderId="0" xfId="0" applyNumberForma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4" fontId="16" fillId="0" borderId="19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6" fillId="4" borderId="18" xfId="0" applyNumberFormat="1" applyFont="1" applyFill="1" applyBorder="1" applyAlignment="1">
      <alignment horizontal="center" vertical="top" wrapText="1"/>
    </xf>
    <xf numFmtId="4" fontId="8" fillId="4" borderId="18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left"/>
    </xf>
    <xf numFmtId="4" fontId="22" fillId="0" borderId="12" xfId="0" applyNumberFormat="1" applyFont="1" applyBorder="1" applyAlignment="1">
      <alignment vertical="center" textRotation="9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2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28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3" borderId="14" xfId="0" applyFont="1" applyFill="1" applyBorder="1" applyAlignment="1">
      <alignment vertical="center"/>
    </xf>
    <xf numFmtId="0" fontId="2" fillId="22" borderId="0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4" fontId="8" fillId="4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vertical="center"/>
    </xf>
    <xf numFmtId="0" fontId="0" fillId="22" borderId="0" xfId="0" applyFill="1" applyBorder="1" applyAlignment="1">
      <alignment horizontal="left"/>
    </xf>
    <xf numFmtId="0" fontId="2" fillId="20" borderId="11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4" fontId="12" fillId="27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/>
    </xf>
    <xf numFmtId="0" fontId="0" fillId="26" borderId="14" xfId="0" applyFill="1" applyBorder="1" applyAlignment="1">
      <alignment/>
    </xf>
    <xf numFmtId="0" fontId="2" fillId="20" borderId="0" xfId="0" applyFont="1" applyFill="1" applyBorder="1" applyAlignment="1">
      <alignment horizontal="left"/>
    </xf>
    <xf numFmtId="0" fontId="2" fillId="20" borderId="24" xfId="0" applyFont="1" applyFill="1" applyBorder="1" applyAlignment="1">
      <alignment horizontal="left"/>
    </xf>
    <xf numFmtId="0" fontId="0" fillId="20" borderId="23" xfId="0" applyFill="1" applyBorder="1" applyAlignment="1">
      <alignment/>
    </xf>
    <xf numFmtId="4" fontId="0" fillId="20" borderId="24" xfId="0" applyNumberFormat="1" applyFill="1" applyBorder="1" applyAlignment="1">
      <alignment/>
    </xf>
    <xf numFmtId="4" fontId="0" fillId="22" borderId="14" xfId="0" applyNumberFormat="1" applyFont="1" applyFill="1" applyBorder="1" applyAlignment="1">
      <alignment/>
    </xf>
    <xf numFmtId="4" fontId="3" fillId="7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2" fillId="0" borderId="19" xfId="0" applyNumberFormat="1" applyFont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 horizontal="center"/>
    </xf>
    <xf numFmtId="4" fontId="13" fillId="0" borderId="30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4" fontId="15" fillId="0" borderId="32" xfId="0" applyNumberFormat="1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center"/>
    </xf>
    <xf numFmtId="4" fontId="13" fillId="0" borderId="33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" fontId="15" fillId="0" borderId="34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22" borderId="26" xfId="0" applyFont="1" applyFill="1" applyBorder="1" applyAlignment="1">
      <alignment horizontal="center"/>
    </xf>
    <xf numFmtId="49" fontId="13" fillId="22" borderId="19" xfId="0" applyNumberFormat="1" applyFont="1" applyFill="1" applyBorder="1" applyAlignment="1">
      <alignment horizontal="center"/>
    </xf>
    <xf numFmtId="49" fontId="13" fillId="22" borderId="19" xfId="0" applyNumberFormat="1" applyFont="1" applyFill="1" applyBorder="1" applyAlignment="1">
      <alignment horizontal="center" wrapText="1"/>
    </xf>
    <xf numFmtId="2" fontId="17" fillId="22" borderId="19" xfId="0" applyNumberFormat="1" applyFont="1" applyFill="1" applyBorder="1" applyAlignment="1">
      <alignment horizontal="center" wrapText="1"/>
    </xf>
    <xf numFmtId="4" fontId="13" fillId="22" borderId="19" xfId="0" applyNumberFormat="1" applyFont="1" applyFill="1" applyBorder="1" applyAlignment="1">
      <alignment horizontal="center"/>
    </xf>
    <xf numFmtId="3" fontId="13" fillId="22" borderId="19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wrapText="1"/>
    </xf>
    <xf numFmtId="4" fontId="15" fillId="0" borderId="3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28" fillId="0" borderId="3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15" fillId="29" borderId="0" xfId="0" applyFont="1" applyFill="1" applyBorder="1" applyAlignment="1">
      <alignment horizontal="left" vertical="center" wrapText="1"/>
    </xf>
    <xf numFmtId="0" fontId="15" fillId="29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31" fillId="0" borderId="33" xfId="0" applyNumberFormat="1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3" borderId="22" xfId="0" applyFill="1" applyBorder="1" applyAlignment="1">
      <alignment/>
    </xf>
    <xf numFmtId="0" fontId="15" fillId="0" borderId="33" xfId="0" applyFont="1" applyFill="1" applyBorder="1" applyAlignment="1">
      <alignment horizontal="center" wrapText="1"/>
    </xf>
    <xf numFmtId="2" fontId="15" fillId="0" borderId="33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 wrapText="1"/>
    </xf>
    <xf numFmtId="0" fontId="35" fillId="0" borderId="33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 wrapText="1"/>
    </xf>
    <xf numFmtId="0" fontId="37" fillId="0" borderId="33" xfId="0" applyFont="1" applyFill="1" applyBorder="1" applyAlignment="1">
      <alignment horizontal="center"/>
    </xf>
    <xf numFmtId="172" fontId="31" fillId="0" borderId="35" xfId="0" applyNumberFormat="1" applyFont="1" applyFill="1" applyBorder="1" applyAlignment="1">
      <alignment horizontal="center"/>
    </xf>
    <xf numFmtId="1" fontId="31" fillId="0" borderId="36" xfId="0" applyNumberFormat="1" applyFont="1" applyFill="1" applyBorder="1" applyAlignment="1">
      <alignment horizontal="center"/>
    </xf>
    <xf numFmtId="1" fontId="31" fillId="0" borderId="33" xfId="0" applyNumberFormat="1" applyFont="1" applyFill="1" applyBorder="1" applyAlignment="1">
      <alignment horizontal="center"/>
    </xf>
    <xf numFmtId="172" fontId="31" fillId="0" borderId="3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31" fillId="0" borderId="32" xfId="0" applyFont="1" applyFill="1" applyBorder="1" applyAlignment="1">
      <alignment horizontal="center" wrapText="1"/>
    </xf>
    <xf numFmtId="4" fontId="31" fillId="0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wrapText="1"/>
    </xf>
    <xf numFmtId="2" fontId="18" fillId="22" borderId="19" xfId="0" applyNumberFormat="1" applyFont="1" applyFill="1" applyBorder="1" applyAlignment="1">
      <alignment horizontal="center"/>
    </xf>
    <xf numFmtId="0" fontId="13" fillId="22" borderId="26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12" fillId="0" borderId="19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left" vertical="center" wrapText="1"/>
    </xf>
    <xf numFmtId="4" fontId="31" fillId="0" borderId="33" xfId="0" applyNumberFormat="1" applyFont="1" applyFill="1" applyBorder="1" applyAlignment="1">
      <alignment horizontal="center" wrapText="1"/>
    </xf>
    <xf numFmtId="0" fontId="2" fillId="8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4" fontId="1" fillId="7" borderId="0" xfId="0" applyNumberFormat="1" applyFont="1" applyFill="1" applyAlignment="1">
      <alignment/>
    </xf>
    <xf numFmtId="4" fontId="0" fillId="7" borderId="0" xfId="0" applyNumberFormat="1" applyFill="1" applyAlignment="1">
      <alignment/>
    </xf>
    <xf numFmtId="2" fontId="18" fillId="0" borderId="34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183" fontId="15" fillId="0" borderId="33" xfId="0" applyNumberFormat="1" applyFont="1" applyFill="1" applyBorder="1" applyAlignment="1">
      <alignment horizontal="center"/>
    </xf>
    <xf numFmtId="0" fontId="28" fillId="0" borderId="18" xfId="0" applyNumberFormat="1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wrapText="1"/>
    </xf>
    <xf numFmtId="4" fontId="31" fillId="0" borderId="18" xfId="0" applyNumberFormat="1" applyFont="1" applyFill="1" applyBorder="1" applyAlignment="1">
      <alignment horizontal="center"/>
    </xf>
    <xf numFmtId="2" fontId="31" fillId="0" borderId="33" xfId="0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49" fontId="34" fillId="0" borderId="18" xfId="0" applyNumberFormat="1" applyFont="1" applyFill="1" applyBorder="1" applyAlignment="1">
      <alignment horizontal="center"/>
    </xf>
    <xf numFmtId="0" fontId="15" fillId="22" borderId="19" xfId="0" applyFont="1" applyFill="1" applyBorder="1" applyAlignment="1">
      <alignment horizontal="center" wrapText="1"/>
    </xf>
    <xf numFmtId="0" fontId="15" fillId="22" borderId="19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 wrapText="1"/>
    </xf>
    <xf numFmtId="4" fontId="31" fillId="0" borderId="37" xfId="0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 wrapText="1"/>
    </xf>
    <xf numFmtId="0" fontId="31" fillId="0" borderId="34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49" fontId="28" fillId="0" borderId="33" xfId="0" applyNumberFormat="1" applyFont="1" applyFill="1" applyBorder="1" applyAlignment="1">
      <alignment horizontal="center"/>
    </xf>
    <xf numFmtId="4" fontId="31" fillId="0" borderId="34" xfId="0" applyNumberFormat="1" applyFont="1" applyFill="1" applyBorder="1" applyAlignment="1">
      <alignment horizontal="center"/>
    </xf>
    <xf numFmtId="49" fontId="37" fillId="0" borderId="37" xfId="0" applyNumberFormat="1" applyFont="1" applyFill="1" applyBorder="1" applyAlignment="1">
      <alignment horizontal="center"/>
    </xf>
    <xf numFmtId="49" fontId="37" fillId="0" borderId="34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49" fontId="37" fillId="0" borderId="33" xfId="0" applyNumberFormat="1" applyFont="1" applyFill="1" applyBorder="1" applyAlignment="1">
      <alignment horizontal="center"/>
    </xf>
    <xf numFmtId="181" fontId="31" fillId="0" borderId="33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30" xfId="0" applyFont="1" applyFill="1" applyBorder="1" applyAlignment="1">
      <alignment horizontal="center" wrapText="1"/>
    </xf>
    <xf numFmtId="0" fontId="2" fillId="22" borderId="14" xfId="0" applyFont="1" applyFill="1" applyBorder="1" applyAlignment="1">
      <alignment wrapText="1"/>
    </xf>
    <xf numFmtId="4" fontId="16" fillId="7" borderId="18" xfId="0" applyNumberFormat="1" applyFont="1" applyFill="1" applyBorder="1" applyAlignment="1">
      <alignment horizontal="center"/>
    </xf>
    <xf numFmtId="4" fontId="1" fillId="14" borderId="33" xfId="0" applyNumberFormat="1" applyFont="1" applyFill="1" applyBorder="1" applyAlignment="1">
      <alignment/>
    </xf>
    <xf numFmtId="4" fontId="1" fillId="14" borderId="38" xfId="0" applyNumberFormat="1" applyFont="1" applyFill="1" applyBorder="1" applyAlignment="1">
      <alignment/>
    </xf>
    <xf numFmtId="4" fontId="1" fillId="14" borderId="0" xfId="0" applyNumberFormat="1" applyFont="1" applyFill="1" applyAlignment="1">
      <alignment/>
    </xf>
    <xf numFmtId="0" fontId="18" fillId="0" borderId="33" xfId="0" applyFont="1" applyFill="1" applyBorder="1" applyAlignment="1">
      <alignment horizontal="center" wrapText="1"/>
    </xf>
    <xf numFmtId="1" fontId="35" fillId="0" borderId="24" xfId="0" applyNumberFormat="1" applyFont="1" applyFill="1" applyBorder="1" applyAlignment="1">
      <alignment horizontal="center"/>
    </xf>
    <xf numFmtId="1" fontId="35" fillId="0" borderId="23" xfId="0" applyNumberFormat="1" applyFont="1" applyFill="1" applyBorder="1" applyAlignment="1">
      <alignment horizontal="center"/>
    </xf>
    <xf numFmtId="1" fontId="31" fillId="0" borderId="24" xfId="0" applyNumberFormat="1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1" fontId="31" fillId="0" borderId="39" xfId="0" applyNumberFormat="1" applyFont="1" applyFill="1" applyBorder="1" applyAlignment="1">
      <alignment horizontal="center"/>
    </xf>
    <xf numFmtId="0" fontId="9" fillId="0" borderId="40" xfId="0" applyFont="1" applyBorder="1" applyAlignment="1">
      <alignment vertical="center"/>
    </xf>
    <xf numFmtId="14" fontId="7" fillId="0" borderId="0" xfId="0" applyNumberFormat="1" applyFont="1" applyAlignment="1">
      <alignment/>
    </xf>
    <xf numFmtId="4" fontId="35" fillId="0" borderId="33" xfId="0" applyNumberFormat="1" applyFont="1" applyFill="1" applyBorder="1" applyAlignment="1">
      <alignment horizontal="center"/>
    </xf>
    <xf numFmtId="1" fontId="35" fillId="0" borderId="36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49" fontId="36" fillId="0" borderId="34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 wrapText="1"/>
    </xf>
    <xf numFmtId="181" fontId="15" fillId="0" borderId="33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wrapText="1"/>
    </xf>
    <xf numFmtId="49" fontId="34" fillId="0" borderId="33" xfId="0" applyNumberFormat="1" applyFont="1" applyFill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0" fontId="42" fillId="0" borderId="33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/>
    </xf>
    <xf numFmtId="172" fontId="13" fillId="0" borderId="24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 horizontal="center"/>
    </xf>
    <xf numFmtId="0" fontId="39" fillId="0" borderId="36" xfId="0" applyFont="1" applyBorder="1" applyAlignment="1">
      <alignment horizontal="center"/>
    </xf>
    <xf numFmtId="172" fontId="35" fillId="0" borderId="35" xfId="0" applyNumberFormat="1" applyFont="1" applyFill="1" applyBorder="1" applyAlignment="1">
      <alignment horizontal="center"/>
    </xf>
    <xf numFmtId="1" fontId="35" fillId="0" borderId="33" xfId="0" applyNumberFormat="1" applyFont="1" applyFill="1" applyBorder="1" applyAlignment="1">
      <alignment horizontal="center"/>
    </xf>
    <xf numFmtId="172" fontId="35" fillId="0" borderId="33" xfId="0" applyNumberFormat="1" applyFont="1" applyFill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4" fillId="0" borderId="33" xfId="0" applyFont="1" applyFill="1" applyBorder="1" applyAlignment="1">
      <alignment horizontal="right" wrapText="1"/>
    </xf>
    <xf numFmtId="49" fontId="34" fillId="0" borderId="33" xfId="0" applyNumberFormat="1" applyFont="1" applyFill="1" applyBorder="1" applyAlignment="1">
      <alignment horizontal="right" wrapText="1"/>
    </xf>
    <xf numFmtId="4" fontId="1" fillId="0" borderId="33" xfId="0" applyNumberFormat="1" applyFont="1" applyBorder="1" applyAlignment="1">
      <alignment horizontal="center"/>
    </xf>
    <xf numFmtId="4" fontId="39" fillId="0" borderId="33" xfId="0" applyNumberFormat="1" applyFont="1" applyBorder="1" applyAlignment="1">
      <alignment horizontal="center"/>
    </xf>
    <xf numFmtId="0" fontId="35" fillId="0" borderId="33" xfId="0" applyFont="1" applyFill="1" applyBorder="1" applyAlignment="1">
      <alignment horizontal="left" wrapText="1"/>
    </xf>
    <xf numFmtId="0" fontId="13" fillId="22" borderId="26" xfId="0" applyFont="1" applyFill="1" applyBorder="1" applyAlignment="1">
      <alignment horizontal="center" wrapText="1"/>
    </xf>
    <xf numFmtId="4" fontId="13" fillId="22" borderId="26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" fontId="15" fillId="22" borderId="41" xfId="0" applyNumberFormat="1" applyFont="1" applyFill="1" applyBorder="1" applyAlignment="1">
      <alignment horizontal="center"/>
    </xf>
    <xf numFmtId="1" fontId="31" fillId="0" borderId="38" xfId="0" applyNumberFormat="1" applyFont="1" applyFill="1" applyBorder="1" applyAlignment="1">
      <alignment horizontal="center"/>
    </xf>
    <xf numFmtId="1" fontId="31" fillId="0" borderId="42" xfId="0" applyNumberFormat="1" applyFont="1" applyFill="1" applyBorder="1" applyAlignment="1">
      <alignment horizontal="center"/>
    </xf>
    <xf numFmtId="1" fontId="31" fillId="0" borderId="43" xfId="0" applyNumberFormat="1" applyFont="1" applyFill="1" applyBorder="1" applyAlignment="1">
      <alignment horizontal="center"/>
    </xf>
    <xf numFmtId="4" fontId="0" fillId="24" borderId="14" xfId="0" applyNumberFormat="1" applyFont="1" applyFill="1" applyBorder="1" applyAlignment="1">
      <alignment/>
    </xf>
    <xf numFmtId="4" fontId="0" fillId="20" borderId="14" xfId="0" applyNumberFormat="1" applyFont="1" applyFill="1" applyBorder="1" applyAlignment="1">
      <alignment/>
    </xf>
    <xf numFmtId="4" fontId="0" fillId="8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3" fontId="0" fillId="11" borderId="14" xfId="0" applyNumberFormat="1" applyFont="1" applyFill="1" applyBorder="1" applyAlignment="1">
      <alignment/>
    </xf>
    <xf numFmtId="49" fontId="0" fillId="3" borderId="0" xfId="0" applyNumberFormat="1" applyFill="1" applyAlignment="1">
      <alignment horizontal="right"/>
    </xf>
    <xf numFmtId="0" fontId="0" fillId="17" borderId="0" xfId="0" applyFill="1" applyAlignment="1">
      <alignment/>
    </xf>
    <xf numFmtId="0" fontId="0" fillId="30" borderId="0" xfId="0" applyFill="1" applyAlignment="1">
      <alignment/>
    </xf>
    <xf numFmtId="185" fontId="0" fillId="3" borderId="44" xfId="0" applyNumberFormat="1" applyFill="1" applyBorder="1" applyAlignment="1">
      <alignment/>
    </xf>
    <xf numFmtId="0" fontId="0" fillId="17" borderId="45" xfId="0" applyFill="1" applyBorder="1" applyAlignment="1">
      <alignment/>
    </xf>
    <xf numFmtId="0" fontId="0" fillId="30" borderId="45" xfId="0" applyFill="1" applyBorder="1" applyAlignment="1">
      <alignment/>
    </xf>
    <xf numFmtId="1" fontId="0" fillId="26" borderId="45" xfId="0" applyNumberFormat="1" applyFill="1" applyBorder="1" applyAlignment="1">
      <alignment/>
    </xf>
    <xf numFmtId="0" fontId="0" fillId="22" borderId="45" xfId="0" applyFill="1" applyBorder="1" applyAlignment="1">
      <alignment/>
    </xf>
    <xf numFmtId="0" fontId="0" fillId="11" borderId="45" xfId="0" applyFill="1" applyBorder="1" applyAlignment="1">
      <alignment/>
    </xf>
    <xf numFmtId="0" fontId="0" fillId="24" borderId="45" xfId="0" applyFill="1" applyBorder="1" applyAlignment="1">
      <alignment/>
    </xf>
    <xf numFmtId="0" fontId="0" fillId="20" borderId="45" xfId="0" applyFill="1" applyBorder="1" applyAlignment="1">
      <alignment/>
    </xf>
    <xf numFmtId="0" fontId="0" fillId="8" borderId="45" xfId="0" applyFill="1" applyBorder="1" applyAlignment="1">
      <alignment/>
    </xf>
    <xf numFmtId="0" fontId="0" fillId="25" borderId="45" xfId="0" applyFill="1" applyBorder="1" applyAlignment="1">
      <alignment/>
    </xf>
    <xf numFmtId="0" fontId="0" fillId="0" borderId="45" xfId="0" applyBorder="1" applyAlignment="1">
      <alignment/>
    </xf>
    <xf numFmtId="0" fontId="14" fillId="5" borderId="11" xfId="0" applyFont="1" applyFill="1" applyBorder="1" applyAlignment="1">
      <alignment/>
    </xf>
    <xf numFmtId="0" fontId="0" fillId="5" borderId="46" xfId="0" applyFill="1" applyBorder="1" applyAlignment="1">
      <alignment/>
    </xf>
    <xf numFmtId="4" fontId="0" fillId="3" borderId="47" xfId="0" applyNumberFormat="1" applyFill="1" applyBorder="1" applyAlignment="1">
      <alignment/>
    </xf>
    <xf numFmtId="0" fontId="1" fillId="30" borderId="48" xfId="0" applyFont="1" applyFill="1" applyBorder="1" applyAlignment="1">
      <alignment/>
    </xf>
    <xf numFmtId="4" fontId="0" fillId="26" borderId="48" xfId="0" applyNumberFormat="1" applyFill="1" applyBorder="1" applyAlignment="1">
      <alignment/>
    </xf>
    <xf numFmtId="4" fontId="0" fillId="22" borderId="48" xfId="0" applyNumberFormat="1" applyFill="1" applyBorder="1" applyAlignment="1">
      <alignment/>
    </xf>
    <xf numFmtId="3" fontId="0" fillId="11" borderId="48" xfId="0" applyNumberFormat="1" applyFill="1" applyBorder="1" applyAlignment="1">
      <alignment/>
    </xf>
    <xf numFmtId="4" fontId="0" fillId="24" borderId="48" xfId="0" applyNumberFormat="1" applyFill="1" applyBorder="1" applyAlignment="1">
      <alignment/>
    </xf>
    <xf numFmtId="4" fontId="0" fillId="20" borderId="48" xfId="0" applyNumberFormat="1" applyFill="1" applyBorder="1" applyAlignment="1">
      <alignment/>
    </xf>
    <xf numFmtId="4" fontId="0" fillId="8" borderId="48" xfId="0" applyNumberFormat="1" applyFill="1" applyBorder="1" applyAlignment="1">
      <alignment/>
    </xf>
    <xf numFmtId="4" fontId="0" fillId="25" borderId="48" xfId="0" applyNumberFormat="1" applyFill="1" applyBorder="1" applyAlignment="1">
      <alignment/>
    </xf>
    <xf numFmtId="3" fontId="0" fillId="5" borderId="28" xfId="0" applyNumberFormat="1" applyFill="1" applyBorder="1" applyAlignment="1">
      <alignment/>
    </xf>
    <xf numFmtId="4" fontId="1" fillId="0" borderId="48" xfId="0" applyNumberFormat="1" applyFont="1" applyBorder="1" applyAlignment="1">
      <alignment/>
    </xf>
    <xf numFmtId="4" fontId="8" fillId="0" borderId="10" xfId="0" applyNumberFormat="1" applyFont="1" applyBorder="1" applyAlignment="1">
      <alignment vertical="center"/>
    </xf>
    <xf numFmtId="0" fontId="0" fillId="5" borderId="11" xfId="0" applyFill="1" applyBorder="1" applyAlignment="1">
      <alignment/>
    </xf>
    <xf numFmtId="3" fontId="0" fillId="5" borderId="1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30" borderId="45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4" fontId="12" fillId="0" borderId="17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vertical="center"/>
    </xf>
    <xf numFmtId="0" fontId="0" fillId="0" borderId="12" xfId="0" applyFill="1" applyBorder="1" applyAlignment="1">
      <alignment textRotation="90"/>
    </xf>
    <xf numFmtId="0" fontId="0" fillId="0" borderId="18" xfId="0" applyFill="1" applyBorder="1" applyAlignment="1">
      <alignment/>
    </xf>
    <xf numFmtId="0" fontId="18" fillId="0" borderId="32" xfId="0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center"/>
    </xf>
    <xf numFmtId="0" fontId="13" fillId="22" borderId="19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181" fontId="15" fillId="0" borderId="37" xfId="0" applyNumberFormat="1" applyFont="1" applyFill="1" applyBorder="1" applyAlignment="1">
      <alignment horizontal="center"/>
    </xf>
    <xf numFmtId="0" fontId="13" fillId="22" borderId="19" xfId="0" applyFont="1" applyFill="1" applyBorder="1" applyAlignment="1">
      <alignment horizontal="center" wrapText="1"/>
    </xf>
    <xf numFmtId="181" fontId="13" fillId="22" borderId="19" xfId="0" applyNumberFormat="1" applyFont="1" applyFill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/>
    </xf>
    <xf numFmtId="0" fontId="39" fillId="0" borderId="32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15" fillId="0" borderId="34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2" fontId="13" fillId="22" borderId="16" xfId="0" applyNumberFormat="1" applyFont="1" applyFill="1" applyBorder="1" applyAlignment="1">
      <alignment horizontal="left" wrapText="1"/>
    </xf>
    <xf numFmtId="49" fontId="15" fillId="0" borderId="30" xfId="0" applyNumberFormat="1" applyFont="1" applyFill="1" applyBorder="1" applyAlignment="1">
      <alignment horizontal="left"/>
    </xf>
    <xf numFmtId="49" fontId="15" fillId="0" borderId="32" xfId="0" applyNumberFormat="1" applyFont="1" applyFill="1" applyBorder="1" applyAlignment="1">
      <alignment horizontal="left" wrapText="1"/>
    </xf>
    <xf numFmtId="2" fontId="13" fillId="0" borderId="34" xfId="0" applyNumberFormat="1" applyFont="1" applyFill="1" applyBorder="1" applyAlignment="1">
      <alignment horizontal="left" wrapText="1"/>
    </xf>
    <xf numFmtId="0" fontId="29" fillId="0" borderId="34" xfId="0" applyFont="1" applyFill="1" applyBorder="1" applyAlignment="1">
      <alignment horizontal="left" wrapText="1"/>
    </xf>
    <xf numFmtId="0" fontId="1" fillId="0" borderId="33" xfId="0" applyFont="1" applyBorder="1" applyAlignment="1">
      <alignment/>
    </xf>
    <xf numFmtId="0" fontId="29" fillId="0" borderId="33" xfId="0" applyFont="1" applyFill="1" applyBorder="1" applyAlignment="1">
      <alignment horizontal="left" wrapText="1"/>
    </xf>
    <xf numFmtId="16" fontId="44" fillId="0" borderId="33" xfId="0" applyNumberFormat="1" applyFont="1" applyBorder="1" applyAlignment="1">
      <alignment/>
    </xf>
    <xf numFmtId="0" fontId="39" fillId="0" borderId="33" xfId="0" applyFont="1" applyBorder="1" applyAlignment="1">
      <alignment/>
    </xf>
    <xf numFmtId="0" fontId="17" fillId="0" borderId="33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horizontal="left" wrapText="1"/>
    </xf>
    <xf numFmtId="0" fontId="39" fillId="0" borderId="34" xfId="0" applyFont="1" applyBorder="1" applyAlignment="1">
      <alignment/>
    </xf>
    <xf numFmtId="0" fontId="34" fillId="0" borderId="34" xfId="0" applyFont="1" applyFill="1" applyBorder="1" applyAlignment="1">
      <alignment horizontal="right" wrapText="1"/>
    </xf>
    <xf numFmtId="49" fontId="34" fillId="0" borderId="34" xfId="0" applyNumberFormat="1" applyFont="1" applyFill="1" applyBorder="1" applyAlignment="1">
      <alignment horizontal="right" wrapText="1"/>
    </xf>
    <xf numFmtId="0" fontId="0" fillId="0" borderId="33" xfId="0" applyFont="1" applyBorder="1" applyAlignment="1">
      <alignment/>
    </xf>
    <xf numFmtId="0" fontId="34" fillId="0" borderId="34" xfId="0" applyFont="1" applyFill="1" applyBorder="1" applyAlignment="1">
      <alignment horizontal="left" wrapText="1"/>
    </xf>
    <xf numFmtId="49" fontId="34" fillId="0" borderId="33" xfId="0" applyNumberFormat="1" applyFont="1" applyFill="1" applyBorder="1" applyAlignment="1">
      <alignment horizontal="left" wrapText="1"/>
    </xf>
    <xf numFmtId="49" fontId="34" fillId="0" borderId="37" xfId="0" applyNumberFormat="1" applyFont="1" applyFill="1" applyBorder="1" applyAlignment="1">
      <alignment horizontal="left" wrapText="1"/>
    </xf>
    <xf numFmtId="49" fontId="34" fillId="0" borderId="18" xfId="0" applyNumberFormat="1" applyFont="1" applyFill="1" applyBorder="1" applyAlignment="1">
      <alignment horizontal="left" wrapText="1"/>
    </xf>
    <xf numFmtId="49" fontId="28" fillId="0" borderId="33" xfId="0" applyNumberFormat="1" applyFont="1" applyFill="1" applyBorder="1" applyAlignment="1">
      <alignment horizontal="left" wrapText="1"/>
    </xf>
    <xf numFmtId="49" fontId="40" fillId="0" borderId="33" xfId="0" applyNumberFormat="1" applyFont="1" applyFill="1" applyBorder="1" applyAlignment="1">
      <alignment horizontal="left" wrapText="1"/>
    </xf>
    <xf numFmtId="0" fontId="0" fillId="0" borderId="33" xfId="0" applyBorder="1" applyAlignment="1">
      <alignment/>
    </xf>
    <xf numFmtId="49" fontId="17" fillId="0" borderId="33" xfId="0" applyNumberFormat="1" applyFont="1" applyFill="1" applyBorder="1" applyAlignment="1">
      <alignment horizontal="left" wrapText="1"/>
    </xf>
    <xf numFmtId="2" fontId="13" fillId="22" borderId="26" xfId="0" applyNumberFormat="1" applyFont="1" applyFill="1" applyBorder="1" applyAlignment="1">
      <alignment horizontal="left" wrapText="1"/>
    </xf>
    <xf numFmtId="2" fontId="28" fillId="22" borderId="19" xfId="0" applyNumberFormat="1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0" fontId="0" fillId="0" borderId="32" xfId="0" applyBorder="1" applyAlignment="1">
      <alignment/>
    </xf>
    <xf numFmtId="0" fontId="39" fillId="0" borderId="32" xfId="0" applyFont="1" applyBorder="1" applyAlignment="1">
      <alignment/>
    </xf>
    <xf numFmtId="0" fontId="13" fillId="22" borderId="19" xfId="0" applyFont="1" applyFill="1" applyBorder="1" applyAlignment="1">
      <alignment horizontal="left" wrapText="1"/>
    </xf>
    <xf numFmtId="4" fontId="13" fillId="22" borderId="19" xfId="0" applyNumberFormat="1" applyFont="1" applyFill="1" applyBorder="1" applyAlignment="1">
      <alignment/>
    </xf>
    <xf numFmtId="49" fontId="28" fillId="0" borderId="34" xfId="0" applyNumberFormat="1" applyFont="1" applyFill="1" applyBorder="1" applyAlignment="1">
      <alignment horizontal="left" wrapText="1"/>
    </xf>
    <xf numFmtId="0" fontId="41" fillId="29" borderId="37" xfId="0" applyFont="1" applyFill="1" applyBorder="1" applyAlignment="1">
      <alignment horizontal="center" wrapText="1"/>
    </xf>
    <xf numFmtId="0" fontId="13" fillId="0" borderId="37" xfId="0" applyFont="1" applyBorder="1" applyAlignment="1">
      <alignment horizontal="left" wrapText="1"/>
    </xf>
    <xf numFmtId="0" fontId="42" fillId="0" borderId="33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horizontal="center"/>
    </xf>
    <xf numFmtId="2" fontId="13" fillId="22" borderId="41" xfId="0" applyNumberFormat="1" applyFont="1" applyFill="1" applyBorder="1" applyAlignment="1">
      <alignment horizontal="left" wrapText="1"/>
    </xf>
    <xf numFmtId="2" fontId="15" fillId="22" borderId="26" xfId="0" applyNumberFormat="1" applyFont="1" applyFill="1" applyBorder="1" applyAlignment="1">
      <alignment horizontal="center"/>
    </xf>
    <xf numFmtId="2" fontId="15" fillId="22" borderId="41" xfId="0" applyNumberFormat="1" applyFont="1" applyFill="1" applyBorder="1" applyAlignment="1">
      <alignment horizontal="center"/>
    </xf>
    <xf numFmtId="2" fontId="15" fillId="22" borderId="13" xfId="0" applyNumberFormat="1" applyFont="1" applyFill="1" applyBorder="1" applyAlignment="1">
      <alignment horizontal="center"/>
    </xf>
    <xf numFmtId="3" fontId="13" fillId="22" borderId="26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31" fillId="0" borderId="5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 wrapText="1"/>
    </xf>
    <xf numFmtId="4" fontId="35" fillId="0" borderId="50" xfId="0" applyNumberFormat="1" applyFont="1" applyFill="1" applyBorder="1" applyAlignment="1">
      <alignment horizontal="center"/>
    </xf>
    <xf numFmtId="4" fontId="35" fillId="0" borderId="18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4" fontId="31" fillId="0" borderId="50" xfId="0" applyNumberFormat="1" applyFont="1" applyBorder="1" applyAlignment="1">
      <alignment horizontal="center"/>
    </xf>
    <xf numFmtId="49" fontId="34" fillId="0" borderId="34" xfId="0" applyNumberFormat="1" applyFont="1" applyFill="1" applyBorder="1" applyAlignment="1">
      <alignment horizontal="center"/>
    </xf>
    <xf numFmtId="4" fontId="35" fillId="0" borderId="50" xfId="0" applyNumberFormat="1" applyFont="1" applyBorder="1" applyAlignment="1">
      <alignment horizontal="center"/>
    </xf>
    <xf numFmtId="49" fontId="34" fillId="0" borderId="37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7" fillId="0" borderId="37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left" wrapText="1"/>
    </xf>
    <xf numFmtId="0" fontId="13" fillId="22" borderId="1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17" borderId="45" xfId="0" applyFont="1" applyFill="1" applyBorder="1" applyAlignment="1">
      <alignment/>
    </xf>
    <xf numFmtId="4" fontId="1" fillId="17" borderId="48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left" wrapText="1"/>
    </xf>
    <xf numFmtId="49" fontId="31" fillId="0" borderId="35" xfId="0" applyNumberFormat="1" applyFont="1" applyFill="1" applyBorder="1" applyAlignment="1">
      <alignment horizontal="left" wrapText="1"/>
    </xf>
    <xf numFmtId="4" fontId="13" fillId="0" borderId="37" xfId="0" applyNumberFormat="1" applyFont="1" applyFill="1" applyBorder="1" applyAlignment="1">
      <alignment horizontal="center"/>
    </xf>
    <xf numFmtId="49" fontId="35" fillId="0" borderId="14" xfId="0" applyNumberFormat="1" applyFont="1" applyFill="1" applyBorder="1" applyAlignment="1">
      <alignment horizontal="left" wrapText="1"/>
    </xf>
    <xf numFmtId="49" fontId="13" fillId="0" borderId="29" xfId="0" applyNumberFormat="1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4" fontId="35" fillId="0" borderId="37" xfId="0" applyNumberFormat="1" applyFont="1" applyFill="1" applyBorder="1" applyAlignment="1">
      <alignment horizontal="center"/>
    </xf>
    <xf numFmtId="4" fontId="31" fillId="0" borderId="35" xfId="0" applyNumberFormat="1" applyFont="1" applyFill="1" applyBorder="1" applyAlignment="1">
      <alignment horizontal="center"/>
    </xf>
    <xf numFmtId="16" fontId="1" fillId="0" borderId="11" xfId="0" applyNumberFormat="1" applyFont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27" borderId="14" xfId="0" applyNumberFormat="1" applyFont="1" applyFill="1" applyBorder="1" applyAlignment="1">
      <alignment/>
    </xf>
    <xf numFmtId="16" fontId="1" fillId="0" borderId="1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28" fillId="22" borderId="37" xfId="0" applyNumberFormat="1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/>
    </xf>
    <xf numFmtId="0" fontId="31" fillId="22" borderId="19" xfId="0" applyFont="1" applyFill="1" applyBorder="1" applyAlignment="1">
      <alignment horizontal="center" wrapText="1"/>
    </xf>
    <xf numFmtId="0" fontId="37" fillId="22" borderId="19" xfId="0" applyFont="1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51" xfId="0" applyFill="1" applyBorder="1" applyAlignment="1">
      <alignment horizontal="center"/>
    </xf>
    <xf numFmtId="4" fontId="31" fillId="22" borderId="19" xfId="0" applyNumberFormat="1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left"/>
    </xf>
    <xf numFmtId="4" fontId="1" fillId="22" borderId="19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left" wrapText="1"/>
    </xf>
    <xf numFmtId="0" fontId="45" fillId="0" borderId="33" xfId="0" applyFont="1" applyBorder="1" applyAlignment="1">
      <alignment/>
    </xf>
    <xf numFmtId="0" fontId="20" fillId="0" borderId="34" xfId="0" applyFont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39" fillId="0" borderId="3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72" fontId="35" fillId="0" borderId="24" xfId="0" applyNumberFormat="1" applyFont="1" applyFill="1" applyBorder="1" applyAlignment="1">
      <alignment horizontal="center"/>
    </xf>
    <xf numFmtId="0" fontId="13" fillId="0" borderId="34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vertical="center" wrapText="1"/>
    </xf>
    <xf numFmtId="0" fontId="13" fillId="0" borderId="30" xfId="0" applyNumberFormat="1" applyFont="1" applyFill="1" applyBorder="1" applyAlignment="1">
      <alignment vertical="center" wrapText="1"/>
    </xf>
    <xf numFmtId="0" fontId="34" fillId="0" borderId="33" xfId="0" applyFont="1" applyFill="1" applyBorder="1" applyAlignment="1">
      <alignment horizontal="center" wrapText="1"/>
    </xf>
    <xf numFmtId="0" fontId="34" fillId="0" borderId="37" xfId="0" applyFont="1" applyFill="1" applyBorder="1" applyAlignment="1">
      <alignment horizontal="center" wrapText="1"/>
    </xf>
    <xf numFmtId="0" fontId="37" fillId="0" borderId="3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20" borderId="14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49" fontId="35" fillId="0" borderId="33" xfId="0" applyNumberFormat="1" applyFont="1" applyFill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1" fontId="35" fillId="0" borderId="35" xfId="0" applyNumberFormat="1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4" fontId="12" fillId="0" borderId="25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4" fontId="13" fillId="4" borderId="25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4" fontId="15" fillId="0" borderId="55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4" fontId="15" fillId="0" borderId="57" xfId="0" applyNumberFormat="1" applyFont="1" applyFill="1" applyBorder="1" applyAlignment="1">
      <alignment horizontal="center" vertical="center"/>
    </xf>
    <xf numFmtId="4" fontId="1" fillId="4" borderId="25" xfId="0" applyNumberFormat="1" applyFont="1" applyFill="1" applyBorder="1" applyAlignment="1">
      <alignment horizontal="center" vertical="center"/>
    </xf>
    <xf numFmtId="4" fontId="15" fillId="0" borderId="58" xfId="0" applyNumberFormat="1" applyFont="1" applyFill="1" applyBorder="1" applyAlignment="1">
      <alignment horizontal="center" vertical="center"/>
    </xf>
    <xf numFmtId="4" fontId="15" fillId="0" borderId="59" xfId="0" applyNumberFormat="1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4" fontId="1" fillId="4" borderId="57" xfId="0" applyNumberFormat="1" applyFont="1" applyFill="1" applyBorder="1" applyAlignment="1">
      <alignment horizontal="center" vertical="center"/>
    </xf>
    <xf numFmtId="2" fontId="39" fillId="0" borderId="33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0" fontId="0" fillId="27" borderId="14" xfId="0" applyFill="1" applyBorder="1" applyAlignment="1">
      <alignment vertical="center"/>
    </xf>
    <xf numFmtId="0" fontId="17" fillId="0" borderId="37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horizontal="center"/>
    </xf>
    <xf numFmtId="0" fontId="45" fillId="0" borderId="34" xfId="0" applyFont="1" applyBorder="1" applyAlignment="1">
      <alignment horizontal="center"/>
    </xf>
    <xf numFmtId="49" fontId="40" fillId="0" borderId="34" xfId="0" applyNumberFormat="1" applyFont="1" applyFill="1" applyBorder="1" applyAlignment="1">
      <alignment horizontal="center"/>
    </xf>
    <xf numFmtId="0" fontId="48" fillId="29" borderId="37" xfId="0" applyFont="1" applyFill="1" applyBorder="1" applyAlignment="1">
      <alignment horizontal="center" wrapText="1"/>
    </xf>
    <xf numFmtId="49" fontId="17" fillId="0" borderId="34" xfId="0" applyNumberFormat="1" applyFont="1" applyFill="1" applyBorder="1" applyAlignment="1">
      <alignment horizontal="center"/>
    </xf>
    <xf numFmtId="49" fontId="34" fillId="0" borderId="32" xfId="0" applyNumberFormat="1" applyFont="1" applyFill="1" applyBorder="1" applyAlignment="1">
      <alignment horizontal="center"/>
    </xf>
    <xf numFmtId="0" fontId="14" fillId="27" borderId="14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5" xfId="0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/>
    </xf>
    <xf numFmtId="4" fontId="1" fillId="11" borderId="21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wrapText="1"/>
    </xf>
    <xf numFmtId="2" fontId="35" fillId="0" borderId="50" xfId="0" applyNumberFormat="1" applyFont="1" applyFill="1" applyBorder="1" applyAlignment="1">
      <alignment horizontal="center"/>
    </xf>
    <xf numFmtId="2" fontId="31" fillId="0" borderId="35" xfId="0" applyNumberFormat="1" applyFont="1" applyFill="1" applyBorder="1" applyAlignment="1">
      <alignment horizontal="center"/>
    </xf>
    <xf numFmtId="2" fontId="31" fillId="0" borderId="50" xfId="0" applyNumberFormat="1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49" fontId="13" fillId="22" borderId="16" xfId="0" applyNumberFormat="1" applyFont="1" applyFill="1" applyBorder="1" applyAlignment="1">
      <alignment horizontal="left" wrapText="1"/>
    </xf>
    <xf numFmtId="0" fontId="15" fillId="22" borderId="16" xfId="0" applyFont="1" applyFill="1" applyBorder="1" applyAlignment="1">
      <alignment horizontal="center"/>
    </xf>
    <xf numFmtId="0" fontId="15" fillId="22" borderId="11" xfId="0" applyFont="1" applyFill="1" applyBorder="1" applyAlignment="1">
      <alignment horizontal="center"/>
    </xf>
    <xf numFmtId="0" fontId="15" fillId="22" borderId="51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 wrapText="1"/>
    </xf>
    <xf numFmtId="2" fontId="31" fillId="0" borderId="34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/>
    </xf>
    <xf numFmtId="2" fontId="27" fillId="22" borderId="19" xfId="0" applyNumberFormat="1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 wrapText="1"/>
    </xf>
    <xf numFmtId="2" fontId="13" fillId="22" borderId="19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2" fontId="13" fillId="22" borderId="26" xfId="0" applyNumberFormat="1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31" fillId="0" borderId="33" xfId="0" applyNumberFormat="1" applyFont="1" applyFill="1" applyBorder="1" applyAlignment="1">
      <alignment/>
    </xf>
    <xf numFmtId="2" fontId="39" fillId="0" borderId="33" xfId="0" applyNumberFormat="1" applyFont="1" applyBorder="1" applyAlignment="1">
      <alignment/>
    </xf>
    <xf numFmtId="2" fontId="35" fillId="0" borderId="33" xfId="0" applyNumberFormat="1" applyFont="1" applyBorder="1" applyAlignment="1">
      <alignment horizontal="center"/>
    </xf>
    <xf numFmtId="2" fontId="31" fillId="0" borderId="3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2" fontId="31" fillId="0" borderId="18" xfId="0" applyNumberFormat="1" applyFont="1" applyFill="1" applyBorder="1" applyAlignment="1">
      <alignment horizontal="center"/>
    </xf>
    <xf numFmtId="2" fontId="31" fillId="0" borderId="37" xfId="0" applyNumberFormat="1" applyFont="1" applyFill="1" applyBorder="1" applyAlignment="1">
      <alignment horizontal="center"/>
    </xf>
    <xf numFmtId="2" fontId="35" fillId="0" borderId="37" xfId="0" applyNumberFormat="1" applyFont="1" applyFill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35" fillId="0" borderId="50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2" fontId="39" fillId="0" borderId="33" xfId="0" applyNumberFormat="1" applyFont="1" applyFill="1" applyBorder="1" applyAlignment="1">
      <alignment horizontal="center"/>
    </xf>
    <xf numFmtId="2" fontId="31" fillId="0" borderId="32" xfId="0" applyNumberFormat="1" applyFont="1" applyFill="1" applyBorder="1" applyAlignment="1">
      <alignment horizontal="center"/>
    </xf>
    <xf numFmtId="2" fontId="15" fillId="0" borderId="30" xfId="0" applyNumberFormat="1" applyFont="1" applyFill="1" applyBorder="1" applyAlignment="1">
      <alignment horizontal="center"/>
    </xf>
    <xf numFmtId="2" fontId="15" fillId="0" borderId="37" xfId="0" applyNumberFormat="1" applyFont="1" applyFill="1" applyBorder="1" applyAlignment="1">
      <alignment horizontal="center"/>
    </xf>
    <xf numFmtId="2" fontId="39" fillId="0" borderId="32" xfId="0" applyNumberFormat="1" applyFont="1" applyBorder="1" applyAlignment="1">
      <alignment/>
    </xf>
    <xf numFmtId="0" fontId="37" fillId="0" borderId="32" xfId="0" applyFont="1" applyFill="1" applyBorder="1" applyAlignment="1">
      <alignment horizontal="center" wrapText="1"/>
    </xf>
    <xf numFmtId="0" fontId="37" fillId="0" borderId="37" xfId="0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44" fillId="0" borderId="32" xfId="0" applyFont="1" applyBorder="1" applyAlignment="1">
      <alignment horizontal="center"/>
    </xf>
    <xf numFmtId="0" fontId="42" fillId="0" borderId="3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" fillId="22" borderId="19" xfId="0" applyNumberFormat="1" applyFont="1" applyFill="1" applyBorder="1" applyAlignment="1">
      <alignment horizontal="center"/>
    </xf>
    <xf numFmtId="2" fontId="31" fillId="22" borderId="19" xfId="0" applyNumberFormat="1" applyFont="1" applyFill="1" applyBorder="1" applyAlignment="1">
      <alignment horizontal="center"/>
    </xf>
    <xf numFmtId="49" fontId="28" fillId="22" borderId="18" xfId="0" applyNumberFormat="1" applyFont="1" applyFill="1" applyBorder="1" applyAlignment="1">
      <alignment horizontal="center" vertical="center"/>
    </xf>
    <xf numFmtId="2" fontId="13" fillId="22" borderId="19" xfId="0" applyNumberFormat="1" applyFont="1" applyFill="1" applyBorder="1" applyAlignment="1">
      <alignment horizontal="left" wrapText="1"/>
    </xf>
    <xf numFmtId="2" fontId="15" fillId="22" borderId="19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left" wrapText="1"/>
    </xf>
    <xf numFmtId="2" fontId="18" fillId="0" borderId="18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83" fontId="15" fillId="0" borderId="34" xfId="0" applyNumberFormat="1" applyFont="1" applyFill="1" applyBorder="1" applyAlignment="1">
      <alignment horizontal="center"/>
    </xf>
    <xf numFmtId="2" fontId="35" fillId="0" borderId="26" xfId="0" applyNumberFormat="1" applyFont="1" applyFill="1" applyBorder="1" applyAlignment="1">
      <alignment horizontal="left" wrapText="1"/>
    </xf>
    <xf numFmtId="0" fontId="35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 wrapText="1"/>
    </xf>
    <xf numFmtId="2" fontId="31" fillId="0" borderId="26" xfId="0" applyNumberFormat="1" applyFont="1" applyFill="1" applyBorder="1" applyAlignment="1">
      <alignment horizontal="center"/>
    </xf>
    <xf numFmtId="2" fontId="37" fillId="0" borderId="26" xfId="0" applyNumberFormat="1" applyFont="1" applyFill="1" applyBorder="1" applyAlignment="1">
      <alignment horizontal="center"/>
    </xf>
    <xf numFmtId="1" fontId="31" fillId="0" borderId="41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2" fontId="35" fillId="0" borderId="26" xfId="0" applyNumberFormat="1" applyFont="1" applyFill="1" applyBorder="1" applyAlignment="1">
      <alignment horizontal="center"/>
    </xf>
    <xf numFmtId="16" fontId="47" fillId="0" borderId="37" xfId="0" applyNumberFormat="1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/>
    </xf>
    <xf numFmtId="49" fontId="28" fillId="0" borderId="34" xfId="0" applyNumberFormat="1" applyFont="1" applyFill="1" applyBorder="1" applyAlignment="1">
      <alignment horizontal="center" vertical="center"/>
    </xf>
    <xf numFmtId="49" fontId="28" fillId="22" borderId="19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/>
    </xf>
    <xf numFmtId="49" fontId="34" fillId="0" borderId="32" xfId="0" applyNumberFormat="1" applyFont="1" applyFill="1" applyBorder="1" applyAlignment="1">
      <alignment horizontal="left" wrapText="1"/>
    </xf>
    <xf numFmtId="0" fontId="35" fillId="0" borderId="37" xfId="0" applyFont="1" applyFill="1" applyBorder="1" applyAlignment="1">
      <alignment horizontal="left" wrapText="1"/>
    </xf>
    <xf numFmtId="2" fontId="15" fillId="0" borderId="33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39" fillId="0" borderId="33" xfId="0" applyFont="1" applyFill="1" applyBorder="1" applyAlignment="1">
      <alignment/>
    </xf>
    <xf numFmtId="0" fontId="48" fillId="29" borderId="33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left" wrapText="1"/>
    </xf>
    <xf numFmtId="0" fontId="42" fillId="0" borderId="34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wrapText="1"/>
    </xf>
    <xf numFmtId="4" fontId="0" fillId="22" borderId="22" xfId="0" applyNumberForma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" fontId="0" fillId="19" borderId="14" xfId="0" applyNumberForma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1" borderId="14" xfId="0" applyFont="1" applyFill="1" applyBorder="1" applyAlignment="1">
      <alignment/>
    </xf>
    <xf numFmtId="0" fontId="0" fillId="22" borderId="0" xfId="0" applyFill="1" applyAlignment="1">
      <alignment/>
    </xf>
    <xf numFmtId="185" fontId="0" fillId="3" borderId="0" xfId="0" applyNumberFormat="1" applyFill="1" applyBorder="1" applyAlignment="1">
      <alignment/>
    </xf>
    <xf numFmtId="0" fontId="15" fillId="17" borderId="11" xfId="0" applyNumberFormat="1" applyFont="1" applyFill="1" applyBorder="1" applyAlignment="1">
      <alignment horizontal="right" vertical="center" wrapText="1"/>
    </xf>
    <xf numFmtId="0" fontId="0" fillId="17" borderId="11" xfId="0" applyNumberFormat="1" applyFont="1" applyFill="1" applyBorder="1" applyAlignment="1">
      <alignment horizontal="right" vertical="center"/>
    </xf>
    <xf numFmtId="4" fontId="0" fillId="17" borderId="16" xfId="0" applyNumberFormat="1" applyFill="1" applyBorder="1" applyAlignment="1">
      <alignment horizontal="right"/>
    </xf>
    <xf numFmtId="0" fontId="0" fillId="11" borderId="0" xfId="0" applyFill="1" applyBorder="1" applyAlignment="1">
      <alignment/>
    </xf>
    <xf numFmtId="0" fontId="0" fillId="15" borderId="0" xfId="0" applyFill="1" applyAlignment="1">
      <alignment/>
    </xf>
    <xf numFmtId="0" fontId="0" fillId="17" borderId="0" xfId="0" applyFill="1" applyBorder="1" applyAlignment="1">
      <alignment/>
    </xf>
    <xf numFmtId="0" fontId="0" fillId="15" borderId="0" xfId="0" applyFill="1" applyBorder="1" applyAlignment="1">
      <alignment/>
    </xf>
    <xf numFmtId="4" fontId="1" fillId="17" borderId="37" xfId="0" applyNumberFormat="1" applyFont="1" applyFill="1" applyBorder="1" applyAlignment="1">
      <alignment/>
    </xf>
    <xf numFmtId="4" fontId="1" fillId="15" borderId="18" xfId="0" applyNumberFormat="1" applyFont="1" applyFill="1" applyBorder="1" applyAlignment="1">
      <alignment/>
    </xf>
    <xf numFmtId="4" fontId="8" fillId="4" borderId="14" xfId="0" applyNumberFormat="1" applyFont="1" applyFill="1" applyBorder="1" applyAlignment="1">
      <alignment horizontal="center" vertical="center"/>
    </xf>
    <xf numFmtId="4" fontId="16" fillId="4" borderId="14" xfId="0" applyNumberFormat="1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/>
    </xf>
    <xf numFmtId="4" fontId="16" fillId="4" borderId="14" xfId="0" applyNumberFormat="1" applyFont="1" applyFill="1" applyBorder="1" applyAlignment="1">
      <alignment horizontal="center" vertical="center" wrapText="1"/>
    </xf>
    <xf numFmtId="4" fontId="16" fillId="4" borderId="22" xfId="0" applyNumberFormat="1" applyFont="1" applyFill="1" applyBorder="1" applyAlignment="1">
      <alignment horizontal="center" vertical="top" wrapText="1"/>
    </xf>
    <xf numFmtId="0" fontId="2" fillId="20" borderId="24" xfId="0" applyFont="1" applyFill="1" applyBorder="1" applyAlignment="1">
      <alignment/>
    </xf>
    <xf numFmtId="4" fontId="8" fillId="4" borderId="40" xfId="0" applyNumberFormat="1" applyFont="1" applyFill="1" applyBorder="1" applyAlignment="1">
      <alignment horizontal="center"/>
    </xf>
    <xf numFmtId="4" fontId="16" fillId="4" borderId="19" xfId="0" applyNumberFormat="1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vertical="center"/>
    </xf>
    <xf numFmtId="0" fontId="20" fillId="20" borderId="14" xfId="0" applyFont="1" applyFill="1" applyBorder="1" applyAlignment="1">
      <alignment vertical="center"/>
    </xf>
    <xf numFmtId="4" fontId="1" fillId="0" borderId="0" xfId="0" applyNumberFormat="1" applyFont="1" applyFill="1" applyAlignment="1">
      <alignment/>
    </xf>
    <xf numFmtId="4" fontId="12" fillId="17" borderId="18" xfId="0" applyNumberFormat="1" applyFont="1" applyFill="1" applyBorder="1" applyAlignment="1">
      <alignment horizontal="center"/>
    </xf>
    <xf numFmtId="4" fontId="3" fillId="17" borderId="14" xfId="0" applyNumberFormat="1" applyFont="1" applyFill="1" applyBorder="1" applyAlignment="1">
      <alignment horizontal="center"/>
    </xf>
    <xf numFmtId="4" fontId="0" fillId="17" borderId="0" xfId="0" applyNumberFormat="1" applyFill="1" applyAlignment="1">
      <alignment/>
    </xf>
    <xf numFmtId="4" fontId="13" fillId="0" borderId="14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/>
    </xf>
    <xf numFmtId="3" fontId="31" fillId="0" borderId="3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 vertical="center"/>
    </xf>
    <xf numFmtId="0" fontId="2" fillId="15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11" borderId="14" xfId="0" applyNumberFormat="1" applyFont="1" applyFill="1" applyBorder="1" applyAlignment="1">
      <alignment/>
    </xf>
    <xf numFmtId="4" fontId="0" fillId="5" borderId="16" xfId="0" applyNumberFormat="1" applyFont="1" applyFill="1" applyBorder="1" applyAlignment="1">
      <alignment/>
    </xf>
    <xf numFmtId="0" fontId="34" fillId="0" borderId="33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left" wrapText="1"/>
    </xf>
    <xf numFmtId="49" fontId="34" fillId="0" borderId="0" xfId="0" applyNumberFormat="1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center"/>
    </xf>
    <xf numFmtId="4" fontId="39" fillId="0" borderId="18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49" fontId="13" fillId="0" borderId="34" xfId="0" applyNumberFormat="1" applyFont="1" applyFill="1" applyBorder="1" applyAlignment="1">
      <alignment horizontal="left" wrapText="1"/>
    </xf>
    <xf numFmtId="2" fontId="13" fillId="0" borderId="14" xfId="0" applyNumberFormat="1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39" fillId="0" borderId="24" xfId="0" applyFont="1" applyFill="1" applyBorder="1" applyAlignment="1">
      <alignment/>
    </xf>
    <xf numFmtId="0" fontId="39" fillId="0" borderId="35" xfId="0" applyFont="1" applyFill="1" applyBorder="1" applyAlignment="1">
      <alignment/>
    </xf>
    <xf numFmtId="2" fontId="31" fillId="0" borderId="33" xfId="0" applyNumberFormat="1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/>
    </xf>
    <xf numFmtId="49" fontId="34" fillId="0" borderId="35" xfId="0" applyNumberFormat="1" applyFont="1" applyFill="1" applyBorder="1" applyAlignment="1">
      <alignment horizontal="left" wrapText="1"/>
    </xf>
    <xf numFmtId="0" fontId="34" fillId="0" borderId="18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 wrapText="1"/>
    </xf>
    <xf numFmtId="4" fontId="11" fillId="0" borderId="43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0" fontId="13" fillId="20" borderId="26" xfId="0" applyFont="1" applyFill="1" applyBorder="1" applyAlignment="1">
      <alignment horizontal="center"/>
    </xf>
    <xf numFmtId="0" fontId="30" fillId="20" borderId="26" xfId="0" applyFont="1" applyFill="1" applyBorder="1" applyAlignment="1">
      <alignment horizontal="left" wrapText="1"/>
    </xf>
    <xf numFmtId="0" fontId="13" fillId="20" borderId="26" xfId="0" applyFont="1" applyFill="1" applyBorder="1" applyAlignment="1">
      <alignment horizontal="center" wrapText="1"/>
    </xf>
    <xf numFmtId="0" fontId="31" fillId="20" borderId="26" xfId="0" applyFont="1" applyFill="1" applyBorder="1" applyAlignment="1">
      <alignment horizontal="center" wrapText="1"/>
    </xf>
    <xf numFmtId="0" fontId="37" fillId="20" borderId="26" xfId="0" applyFont="1" applyFill="1" applyBorder="1" applyAlignment="1">
      <alignment horizontal="center"/>
    </xf>
    <xf numFmtId="4" fontId="13" fillId="20" borderId="26" xfId="0" applyNumberFormat="1" applyFont="1" applyFill="1" applyBorder="1" applyAlignment="1">
      <alignment horizontal="center"/>
    </xf>
    <xf numFmtId="2" fontId="13" fillId="20" borderId="41" xfId="0" applyNumberFormat="1" applyFont="1" applyFill="1" applyBorder="1" applyAlignment="1">
      <alignment horizontal="left" wrapText="1"/>
    </xf>
    <xf numFmtId="2" fontId="15" fillId="20" borderId="19" xfId="0" applyNumberFormat="1" applyFont="1" applyFill="1" applyBorder="1" applyAlignment="1">
      <alignment horizontal="center"/>
    </xf>
    <xf numFmtId="2" fontId="15" fillId="20" borderId="16" xfId="0" applyNumberFormat="1" applyFont="1" applyFill="1" applyBorder="1" applyAlignment="1">
      <alignment horizontal="center"/>
    </xf>
    <xf numFmtId="1" fontId="15" fillId="20" borderId="16" xfId="0" applyNumberFormat="1" applyFont="1" applyFill="1" applyBorder="1" applyAlignment="1">
      <alignment horizontal="center"/>
    </xf>
    <xf numFmtId="2" fontId="15" fillId="20" borderId="51" xfId="0" applyNumberFormat="1" applyFont="1" applyFill="1" applyBorder="1" applyAlignment="1">
      <alignment horizontal="center"/>
    </xf>
    <xf numFmtId="4" fontId="13" fillId="20" borderId="19" xfId="0" applyNumberFormat="1" applyFont="1" applyFill="1" applyBorder="1" applyAlignment="1">
      <alignment horizontal="center"/>
    </xf>
    <xf numFmtId="0" fontId="13" fillId="20" borderId="19" xfId="0" applyFont="1" applyFill="1" applyBorder="1" applyAlignment="1">
      <alignment horizontal="center"/>
    </xf>
    <xf numFmtId="0" fontId="13" fillId="20" borderId="19" xfId="0" applyFont="1" applyFill="1" applyBorder="1" applyAlignment="1">
      <alignment horizontal="center" wrapText="1"/>
    </xf>
    <xf numFmtId="0" fontId="15" fillId="20" borderId="19" xfId="0" applyFont="1" applyFill="1" applyBorder="1" applyAlignment="1">
      <alignment horizontal="center" wrapText="1"/>
    </xf>
    <xf numFmtId="2" fontId="13" fillId="20" borderId="16" xfId="0" applyNumberFormat="1" applyFont="1" applyFill="1" applyBorder="1" applyAlignment="1">
      <alignment horizontal="left" wrapText="1"/>
    </xf>
    <xf numFmtId="49" fontId="13" fillId="20" borderId="19" xfId="0" applyNumberFormat="1" applyFont="1" applyFill="1" applyBorder="1" applyAlignment="1">
      <alignment horizontal="center"/>
    </xf>
    <xf numFmtId="49" fontId="13" fillId="20" borderId="19" xfId="0" applyNumberFormat="1" applyFont="1" applyFill="1" applyBorder="1" applyAlignment="1">
      <alignment horizontal="center" wrapText="1"/>
    </xf>
    <xf numFmtId="2" fontId="34" fillId="20" borderId="19" xfId="0" applyNumberFormat="1" applyFont="1" applyFill="1" applyBorder="1" applyAlignment="1">
      <alignment horizontal="center" wrapText="1"/>
    </xf>
    <xf numFmtId="2" fontId="13" fillId="20" borderId="19" xfId="0" applyNumberFormat="1" applyFont="1" applyFill="1" applyBorder="1" applyAlignment="1">
      <alignment horizontal="center"/>
    </xf>
    <xf numFmtId="3" fontId="13" fillId="20" borderId="19" xfId="0" applyNumberFormat="1" applyFont="1" applyFill="1" applyBorder="1" applyAlignment="1">
      <alignment horizontal="center"/>
    </xf>
    <xf numFmtId="49" fontId="28" fillId="20" borderId="26" xfId="0" applyNumberFormat="1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/>
    </xf>
    <xf numFmtId="0" fontId="31" fillId="20" borderId="19" xfId="0" applyFont="1" applyFill="1" applyBorder="1" applyAlignment="1">
      <alignment horizontal="center" wrapText="1"/>
    </xf>
    <xf numFmtId="0" fontId="37" fillId="20" borderId="19" xfId="0" applyFon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4" fontId="1" fillId="20" borderId="19" xfId="0" applyNumberFormat="1" applyFont="1" applyFill="1" applyBorder="1" applyAlignment="1">
      <alignment horizontal="center"/>
    </xf>
    <xf numFmtId="49" fontId="28" fillId="20" borderId="18" xfId="0" applyNumberFormat="1" applyFont="1" applyFill="1" applyBorder="1" applyAlignment="1">
      <alignment horizontal="center" vertical="center"/>
    </xf>
    <xf numFmtId="2" fontId="13" fillId="20" borderId="19" xfId="0" applyNumberFormat="1" applyFont="1" applyFill="1" applyBorder="1" applyAlignment="1">
      <alignment horizontal="left" wrapText="1"/>
    </xf>
    <xf numFmtId="2" fontId="28" fillId="20" borderId="19" xfId="0" applyNumberFormat="1" applyFont="1" applyFill="1" applyBorder="1" applyAlignment="1">
      <alignment horizontal="center" wrapText="1"/>
    </xf>
    <xf numFmtId="0" fontId="13" fillId="20" borderId="19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left" wrapText="1"/>
    </xf>
    <xf numFmtId="4" fontId="13" fillId="20" borderId="19" xfId="0" applyNumberFormat="1" applyFont="1" applyFill="1" applyBorder="1" applyAlignment="1">
      <alignment/>
    </xf>
    <xf numFmtId="181" fontId="13" fillId="20" borderId="19" xfId="0" applyNumberFormat="1" applyFont="1" applyFill="1" applyBorder="1" applyAlignment="1">
      <alignment horizontal="center"/>
    </xf>
    <xf numFmtId="0" fontId="15" fillId="29" borderId="33" xfId="0" applyFont="1" applyFill="1" applyBorder="1" applyAlignment="1">
      <alignment vertical="center" wrapText="1"/>
    </xf>
    <xf numFmtId="49" fontId="17" fillId="0" borderId="32" xfId="0" applyNumberFormat="1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1" fillId="0" borderId="34" xfId="0" applyNumberFormat="1" applyFont="1" applyFill="1" applyBorder="1" applyAlignment="1">
      <alignment horizontal="left" wrapText="1"/>
    </xf>
    <xf numFmtId="2" fontId="37" fillId="0" borderId="34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4" fontId="1" fillId="0" borderId="30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49" fillId="0" borderId="34" xfId="0" applyFont="1" applyBorder="1" applyAlignment="1">
      <alignment horizontal="left" wrapText="1"/>
    </xf>
    <xf numFmtId="49" fontId="40" fillId="0" borderId="14" xfId="0" applyNumberFormat="1" applyFont="1" applyFill="1" applyBorder="1" applyAlignment="1">
      <alignment horizontal="left" wrapText="1"/>
    </xf>
    <xf numFmtId="4" fontId="0" fillId="11" borderId="18" xfId="0" applyNumberFormat="1" applyFont="1" applyFill="1" applyBorder="1" applyAlignment="1">
      <alignment/>
    </xf>
    <xf numFmtId="0" fontId="14" fillId="11" borderId="14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34" fillId="0" borderId="23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 horizontal="left"/>
    </xf>
    <xf numFmtId="0" fontId="1" fillId="20" borderId="16" xfId="0" applyFont="1" applyFill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4" fontId="18" fillId="0" borderId="15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31" fillId="0" borderId="33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left" wrapText="1"/>
    </xf>
    <xf numFmtId="0" fontId="28" fillId="0" borderId="33" xfId="0" applyFont="1" applyBorder="1" applyAlignment="1">
      <alignment wrapText="1"/>
    </xf>
    <xf numFmtId="4" fontId="0" fillId="0" borderId="0" xfId="0" applyNumberFormat="1" applyFill="1" applyAlignment="1">
      <alignment horizontal="right"/>
    </xf>
    <xf numFmtId="0" fontId="28" fillId="0" borderId="33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4" fontId="28" fillId="0" borderId="3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13" fillId="0" borderId="19" xfId="0" applyNumberFormat="1" applyFont="1" applyBorder="1" applyAlignment="1">
      <alignment horizontal="center"/>
    </xf>
    <xf numFmtId="16" fontId="47" fillId="0" borderId="33" xfId="0" applyNumberFormat="1" applyFont="1" applyBorder="1" applyAlignment="1">
      <alignment horizontal="center"/>
    </xf>
    <xf numFmtId="4" fontId="0" fillId="15" borderId="14" xfId="0" applyNumberFormat="1" applyFill="1" applyBorder="1" applyAlignment="1">
      <alignment/>
    </xf>
    <xf numFmtId="0" fontId="0" fillId="17" borderId="0" xfId="0" applyFont="1" applyFill="1" applyBorder="1" applyAlignment="1">
      <alignment horizontal="right"/>
    </xf>
    <xf numFmtId="0" fontId="0" fillId="19" borderId="0" xfId="0" applyFill="1" applyBorder="1" applyAlignment="1">
      <alignment/>
    </xf>
    <xf numFmtId="4" fontId="13" fillId="0" borderId="50" xfId="0" applyNumberFormat="1" applyFont="1" applyFill="1" applyBorder="1" applyAlignment="1">
      <alignment horizontal="center"/>
    </xf>
    <xf numFmtId="0" fontId="35" fillId="20" borderId="19" xfId="0" applyFont="1" applyFill="1" applyBorder="1" applyAlignment="1">
      <alignment horizontal="center"/>
    </xf>
    <xf numFmtId="0" fontId="27" fillId="20" borderId="19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4" fontId="31" fillId="0" borderId="43" xfId="0" applyNumberFormat="1" applyFont="1" applyFill="1" applyBorder="1" applyAlignment="1">
      <alignment horizontal="center"/>
    </xf>
    <xf numFmtId="49" fontId="31" fillId="0" borderId="34" xfId="0" applyNumberFormat="1" applyFont="1" applyFill="1" applyBorder="1" applyAlignment="1">
      <alignment horizontal="left" wrapText="1"/>
    </xf>
    <xf numFmtId="2" fontId="34" fillId="0" borderId="33" xfId="0" applyNumberFormat="1" applyFont="1" applyFill="1" applyBorder="1" applyAlignment="1">
      <alignment horizontal="center"/>
    </xf>
    <xf numFmtId="2" fontId="34" fillId="0" borderId="34" xfId="0" applyNumberFormat="1" applyFont="1" applyFill="1" applyBorder="1" applyAlignment="1">
      <alignment horizontal="center"/>
    </xf>
    <xf numFmtId="0" fontId="45" fillId="0" borderId="33" xfId="0" applyFont="1" applyBorder="1" applyAlignment="1">
      <alignment horizontal="center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/>
    </xf>
    <xf numFmtId="0" fontId="2" fillId="19" borderId="14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0" fillId="25" borderId="11" xfId="0" applyFill="1" applyBorder="1" applyAlignment="1">
      <alignment/>
    </xf>
    <xf numFmtId="4" fontId="0" fillId="25" borderId="16" xfId="0" applyNumberForma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5" fillId="0" borderId="33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15" fillId="0" borderId="61" xfId="0" applyFont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center" vertical="center"/>
    </xf>
    <xf numFmtId="4" fontId="0" fillId="0" borderId="59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4" fontId="0" fillId="0" borderId="6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3" fillId="4" borderId="6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4" fontId="1" fillId="4" borderId="55" xfId="0" applyNumberFormat="1" applyFont="1" applyFill="1" applyBorder="1" applyAlignment="1">
      <alignment horizontal="center" vertical="center"/>
    </xf>
    <xf numFmtId="3" fontId="15" fillId="0" borderId="33" xfId="0" applyNumberFormat="1" applyFont="1" applyFill="1" applyBorder="1" applyAlignment="1">
      <alignment horizontal="center"/>
    </xf>
    <xf numFmtId="0" fontId="13" fillId="0" borderId="33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left" wrapText="1"/>
    </xf>
    <xf numFmtId="1" fontId="13" fillId="0" borderId="33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0" fontId="13" fillId="0" borderId="33" xfId="0" applyFont="1" applyBorder="1" applyAlignment="1">
      <alignment wrapText="1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" fontId="15" fillId="0" borderId="3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49" fontId="15" fillId="0" borderId="33" xfId="0" applyNumberFormat="1" applyFont="1" applyFill="1" applyBorder="1" applyAlignment="1">
      <alignment horizontal="left" wrapText="1"/>
    </xf>
    <xf numFmtId="180" fontId="15" fillId="0" borderId="33" xfId="0" applyNumberFormat="1" applyFont="1" applyFill="1" applyBorder="1" applyAlignment="1">
      <alignment horizontal="center"/>
    </xf>
    <xf numFmtId="179" fontId="15" fillId="0" borderId="33" xfId="0" applyNumberFormat="1" applyFont="1" applyFill="1" applyBorder="1" applyAlignment="1">
      <alignment horizontal="center"/>
    </xf>
    <xf numFmtId="0" fontId="15" fillId="0" borderId="33" xfId="0" applyFont="1" applyBorder="1" applyAlignment="1">
      <alignment wrapText="1"/>
    </xf>
    <xf numFmtId="1" fontId="15" fillId="0" borderId="33" xfId="0" applyNumberFormat="1" applyFont="1" applyFill="1" applyBorder="1" applyAlignment="1">
      <alignment horizontal="center"/>
    </xf>
    <xf numFmtId="1" fontId="13" fillId="0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49" fontId="40" fillId="0" borderId="0" xfId="0" applyNumberFormat="1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" fontId="35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0" borderId="50" xfId="0" applyFont="1" applyBorder="1" applyAlignment="1">
      <alignment vertical="top" wrapText="1"/>
    </xf>
    <xf numFmtId="0" fontId="15" fillId="0" borderId="33" xfId="0" applyFont="1" applyBorder="1" applyAlignment="1">
      <alignment/>
    </xf>
    <xf numFmtId="183" fontId="15" fillId="0" borderId="33" xfId="0" applyNumberFormat="1" applyFont="1" applyBorder="1" applyAlignment="1">
      <alignment horizontal="center" wrapText="1"/>
    </xf>
    <xf numFmtId="187" fontId="0" fillId="0" borderId="0" xfId="0" applyNumberFormat="1" applyAlignment="1">
      <alignment/>
    </xf>
    <xf numFmtId="0" fontId="15" fillId="0" borderId="18" xfId="0" applyFont="1" applyFill="1" applyBorder="1" applyAlignment="1">
      <alignment horizontal="center"/>
    </xf>
    <xf numFmtId="179" fontId="15" fillId="0" borderId="35" xfId="0" applyNumberFormat="1" applyFont="1" applyFill="1" applyBorder="1" applyAlignment="1">
      <alignment horizontal="center"/>
    </xf>
    <xf numFmtId="183" fontId="15" fillId="0" borderId="35" xfId="0" applyNumberFormat="1" applyFont="1" applyBorder="1" applyAlignment="1">
      <alignment horizontal="center" wrapText="1"/>
    </xf>
    <xf numFmtId="179" fontId="13" fillId="0" borderId="33" xfId="0" applyNumberFormat="1" applyFont="1" applyFill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34" xfId="0" applyFont="1" applyBorder="1" applyAlignment="1">
      <alignment horizontal="left" wrapText="1"/>
    </xf>
    <xf numFmtId="1" fontId="13" fillId="0" borderId="34" xfId="0" applyNumberFormat="1" applyFont="1" applyFill="1" applyBorder="1" applyAlignment="1">
      <alignment/>
    </xf>
    <xf numFmtId="0" fontId="0" fillId="0" borderId="34" xfId="0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5" fillId="0" borderId="32" xfId="0" applyFont="1" applyBorder="1" applyAlignment="1">
      <alignment wrapText="1"/>
    </xf>
    <xf numFmtId="1" fontId="15" fillId="0" borderId="32" xfId="0" applyNumberFormat="1" applyFont="1" applyFill="1" applyBorder="1" applyAlignment="1">
      <alignment horizontal="center"/>
    </xf>
    <xf numFmtId="1" fontId="31" fillId="0" borderId="32" xfId="0" applyNumberFormat="1" applyFont="1" applyFill="1" applyBorder="1" applyAlignment="1">
      <alignment horizontal="center"/>
    </xf>
    <xf numFmtId="179" fontId="15" fillId="0" borderId="32" xfId="0" applyNumberFormat="1" applyFont="1" applyFill="1" applyBorder="1" applyAlignment="1">
      <alignment horizontal="center"/>
    </xf>
    <xf numFmtId="0" fontId="15" fillId="0" borderId="32" xfId="0" applyFont="1" applyBorder="1" applyAlignment="1">
      <alignment horizontal="left"/>
    </xf>
    <xf numFmtId="183" fontId="9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183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42" xfId="0" applyFont="1" applyFill="1" applyBorder="1" applyAlignment="1">
      <alignment wrapText="1"/>
    </xf>
    <xf numFmtId="179" fontId="1" fillId="0" borderId="42" xfId="0" applyNumberFormat="1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4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0" fontId="11" fillId="0" borderId="33" xfId="0" applyFont="1" applyBorder="1" applyAlignment="1">
      <alignment horizontal="center"/>
    </xf>
    <xf numFmtId="0" fontId="34" fillId="0" borderId="33" xfId="0" applyFont="1" applyBorder="1" applyAlignment="1">
      <alignment wrapText="1"/>
    </xf>
    <xf numFmtId="0" fontId="34" fillId="0" borderId="33" xfId="0" applyFont="1" applyFill="1" applyBorder="1" applyAlignment="1">
      <alignment/>
    </xf>
    <xf numFmtId="0" fontId="34" fillId="0" borderId="33" xfId="0" applyFont="1" applyBorder="1" applyAlignment="1">
      <alignment horizontal="center"/>
    </xf>
    <xf numFmtId="4" fontId="34" fillId="0" borderId="33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4" fontId="40" fillId="0" borderId="33" xfId="0" applyNumberFormat="1" applyFont="1" applyFill="1" applyBorder="1" applyAlignment="1">
      <alignment horizontal="center"/>
    </xf>
    <xf numFmtId="172" fontId="28" fillId="0" borderId="33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1" fontId="28" fillId="0" borderId="33" xfId="0" applyNumberFormat="1" applyFont="1" applyBorder="1" applyAlignment="1">
      <alignment horizontal="center"/>
    </xf>
    <xf numFmtId="4" fontId="28" fillId="0" borderId="33" xfId="0" applyNumberFormat="1" applyFont="1" applyFill="1" applyBorder="1" applyAlignment="1">
      <alignment horizontal="center"/>
    </xf>
    <xf numFmtId="4" fontId="18" fillId="10" borderId="0" xfId="0" applyNumberFormat="1" applyFont="1" applyFill="1" applyBorder="1" applyAlignment="1">
      <alignment horizontal="left" vertical="center" wrapText="1"/>
    </xf>
    <xf numFmtId="0" fontId="2" fillId="17" borderId="45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0" borderId="14" xfId="0" applyFont="1" applyFill="1" applyBorder="1" applyAlignment="1">
      <alignment vertical="center"/>
    </xf>
    <xf numFmtId="4" fontId="0" fillId="3" borderId="14" xfId="0" applyNumberFormat="1" applyFill="1" applyBorder="1" applyAlignment="1">
      <alignment horizontal="right"/>
    </xf>
    <xf numFmtId="4" fontId="8" fillId="10" borderId="14" xfId="0" applyNumberFormat="1" applyFont="1" applyFill="1" applyBorder="1" applyAlignment="1">
      <alignment horizontal="right"/>
    </xf>
    <xf numFmtId="4" fontId="0" fillId="26" borderId="14" xfId="0" applyNumberFormat="1" applyFill="1" applyBorder="1" applyAlignment="1">
      <alignment horizontal="right"/>
    </xf>
    <xf numFmtId="4" fontId="0" fillId="22" borderId="14" xfId="0" applyNumberFormat="1" applyFill="1" applyBorder="1" applyAlignment="1">
      <alignment horizontal="right"/>
    </xf>
    <xf numFmtId="3" fontId="0" fillId="11" borderId="14" xfId="0" applyNumberFormat="1" applyFill="1" applyBorder="1" applyAlignment="1">
      <alignment horizontal="right"/>
    </xf>
    <xf numFmtId="4" fontId="0" fillId="24" borderId="14" xfId="0" applyNumberFormat="1" applyFill="1" applyBorder="1" applyAlignment="1">
      <alignment horizontal="right"/>
    </xf>
    <xf numFmtId="4" fontId="0" fillId="25" borderId="14" xfId="0" applyNumberFormat="1" applyFill="1" applyBorder="1" applyAlignment="1">
      <alignment horizontal="right"/>
    </xf>
    <xf numFmtId="4" fontId="0" fillId="17" borderId="14" xfId="0" applyNumberFormat="1" applyFont="1" applyFill="1" applyBorder="1" applyAlignment="1">
      <alignment horizontal="right"/>
    </xf>
    <xf numFmtId="3" fontId="0" fillId="15" borderId="14" xfId="0" applyNumberFormat="1" applyFill="1" applyBorder="1" applyAlignment="1">
      <alignment horizontal="right"/>
    </xf>
    <xf numFmtId="3" fontId="0" fillId="20" borderId="14" xfId="0" applyNumberFormat="1" applyFill="1" applyBorder="1" applyAlignment="1">
      <alignment horizontal="right"/>
    </xf>
    <xf numFmtId="0" fontId="14" fillId="5" borderId="11" xfId="0" applyFont="1" applyFill="1" applyBorder="1" applyAlignment="1">
      <alignment horizontal="right"/>
    </xf>
    <xf numFmtId="3" fontId="0" fillId="5" borderId="16" xfId="0" applyNumberFormat="1" applyFill="1" applyBorder="1" applyAlignment="1">
      <alignment horizontal="right"/>
    </xf>
    <xf numFmtId="4" fontId="0" fillId="8" borderId="14" xfId="0" applyNumberFormat="1" applyFill="1" applyBorder="1" applyAlignment="1">
      <alignment horizontal="right"/>
    </xf>
    <xf numFmtId="0" fontId="34" fillId="0" borderId="18" xfId="0" applyFont="1" applyFill="1" applyBorder="1" applyAlignment="1">
      <alignment wrapText="1"/>
    </xf>
    <xf numFmtId="49" fontId="13" fillId="0" borderId="24" xfId="0" applyNumberFormat="1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left" wrapText="1"/>
    </xf>
    <xf numFmtId="0" fontId="15" fillId="0" borderId="37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/>
    </xf>
    <xf numFmtId="4" fontId="15" fillId="0" borderId="37" xfId="0" applyNumberFormat="1" applyFont="1" applyFill="1" applyBorder="1" applyAlignment="1">
      <alignment horizontal="center"/>
    </xf>
    <xf numFmtId="49" fontId="13" fillId="20" borderId="33" xfId="0" applyNumberFormat="1" applyFont="1" applyFill="1" applyBorder="1" applyAlignment="1">
      <alignment horizontal="left" wrapText="1"/>
    </xf>
    <xf numFmtId="0" fontId="13" fillId="20" borderId="33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 wrapText="1"/>
    </xf>
    <xf numFmtId="0" fontId="15" fillId="20" borderId="33" xfId="0" applyFont="1" applyFill="1" applyBorder="1" applyAlignment="1">
      <alignment horizontal="center" wrapText="1"/>
    </xf>
    <xf numFmtId="0" fontId="15" fillId="20" borderId="33" xfId="0" applyFont="1" applyFill="1" applyBorder="1" applyAlignment="1">
      <alignment horizontal="center"/>
    </xf>
    <xf numFmtId="4" fontId="13" fillId="20" borderId="3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5" fillId="0" borderId="34" xfId="0" applyFont="1" applyFill="1" applyBorder="1" applyAlignment="1">
      <alignment horizontal="center"/>
    </xf>
    <xf numFmtId="0" fontId="13" fillId="20" borderId="10" xfId="0" applyNumberFormat="1" applyFont="1" applyFill="1" applyBorder="1" applyAlignment="1">
      <alignment/>
    </xf>
    <xf numFmtId="0" fontId="13" fillId="20" borderId="26" xfId="0" applyNumberFormat="1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 wrapText="1"/>
    </xf>
    <xf numFmtId="4" fontId="45" fillId="0" borderId="33" xfId="0" applyNumberFormat="1" applyFont="1" applyBorder="1" applyAlignment="1">
      <alignment horizontal="center"/>
    </xf>
    <xf numFmtId="1" fontId="31" fillId="0" borderId="50" xfId="0" applyNumberFormat="1" applyFont="1" applyFill="1" applyBorder="1" applyAlignment="1">
      <alignment horizontal="center"/>
    </xf>
    <xf numFmtId="1" fontId="31" fillId="0" borderId="35" xfId="0" applyNumberFormat="1" applyFont="1" applyFill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13" fillId="20" borderId="56" xfId="0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/>
    </xf>
    <xf numFmtId="0" fontId="15" fillId="20" borderId="26" xfId="0" applyFont="1" applyFill="1" applyBorder="1" applyAlignment="1">
      <alignment horizontal="center" wrapText="1"/>
    </xf>
    <xf numFmtId="1" fontId="13" fillId="0" borderId="24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0" fontId="39" fillId="0" borderId="24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4" fontId="39" fillId="0" borderId="34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" fontId="0" fillId="4" borderId="18" xfId="0" applyNumberFormat="1" applyFill="1" applyBorder="1" applyAlignment="1">
      <alignment horizontal="right"/>
    </xf>
    <xf numFmtId="4" fontId="16" fillId="4" borderId="18" xfId="0" applyNumberFormat="1" applyFont="1" applyFill="1" applyBorder="1" applyAlignment="1">
      <alignment horizontal="right" vertical="center" wrapText="1"/>
    </xf>
    <xf numFmtId="4" fontId="16" fillId="4" borderId="14" xfId="0" applyNumberFormat="1" applyFont="1" applyFill="1" applyBorder="1" applyAlignment="1">
      <alignment horizontal="right" vertical="center" wrapText="1"/>
    </xf>
    <xf numFmtId="0" fontId="34" fillId="0" borderId="32" xfId="0" applyFont="1" applyFill="1" applyBorder="1" applyAlignment="1">
      <alignment/>
    </xf>
    <xf numFmtId="0" fontId="34" fillId="0" borderId="32" xfId="0" applyFont="1" applyBorder="1" applyAlignment="1">
      <alignment horizontal="center"/>
    </xf>
    <xf numFmtId="4" fontId="34" fillId="0" borderId="32" xfId="0" applyNumberFormat="1" applyFont="1" applyFill="1" applyBorder="1" applyAlignment="1">
      <alignment horizontal="center"/>
    </xf>
    <xf numFmtId="2" fontId="34" fillId="0" borderId="32" xfId="0" applyNumberFormat="1" applyFont="1" applyFill="1" applyBorder="1" applyAlignment="1">
      <alignment horizontal="center"/>
    </xf>
    <xf numFmtId="0" fontId="13" fillId="20" borderId="41" xfId="0" applyNumberFormat="1" applyFont="1" applyFill="1" applyBorder="1" applyAlignment="1">
      <alignment horizontal="center"/>
    </xf>
    <xf numFmtId="4" fontId="16" fillId="4" borderId="18" xfId="0" applyNumberFormat="1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/>
    </xf>
    <xf numFmtId="4" fontId="8" fillId="4" borderId="18" xfId="0" applyNumberFormat="1" applyFont="1" applyFill="1" applyBorder="1" applyAlignment="1">
      <alignment horizontal="right"/>
    </xf>
    <xf numFmtId="4" fontId="8" fillId="4" borderId="20" xfId="0" applyNumberFormat="1" applyFont="1" applyFill="1" applyBorder="1" applyAlignment="1">
      <alignment horizontal="right"/>
    </xf>
    <xf numFmtId="4" fontId="35" fillId="0" borderId="34" xfId="0" applyNumberFormat="1" applyFont="1" applyFill="1" applyBorder="1" applyAlignment="1">
      <alignment horizontal="center"/>
    </xf>
    <xf numFmtId="181" fontId="31" fillId="0" borderId="37" xfId="0" applyNumberFormat="1" applyFont="1" applyFill="1" applyBorder="1" applyAlignment="1">
      <alignment horizontal="center"/>
    </xf>
    <xf numFmtId="181" fontId="31" fillId="0" borderId="34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9" fillId="0" borderId="0" xfId="0" applyFont="1" applyAlignment="1">
      <alignment horizontal="center"/>
    </xf>
    <xf numFmtId="0" fontId="0" fillId="15" borderId="23" xfId="0" applyFill="1" applyBorder="1" applyAlignment="1">
      <alignment/>
    </xf>
    <xf numFmtId="4" fontId="0" fillId="24" borderId="23" xfId="0" applyNumberFormat="1" applyFill="1" applyBorder="1" applyAlignment="1">
      <alignment/>
    </xf>
    <xf numFmtId="0" fontId="0" fillId="22" borderId="23" xfId="0" applyFill="1" applyBorder="1" applyAlignment="1">
      <alignment/>
    </xf>
    <xf numFmtId="4" fontId="0" fillId="0" borderId="39" xfId="0" applyNumberFormat="1" applyBorder="1" applyAlignment="1">
      <alignment/>
    </xf>
    <xf numFmtId="0" fontId="0" fillId="11" borderId="42" xfId="0" applyFill="1" applyBorder="1" applyAlignment="1">
      <alignment/>
    </xf>
    <xf numFmtId="4" fontId="0" fillId="24" borderId="42" xfId="0" applyNumberFormat="1" applyFill="1" applyBorder="1" applyAlignment="1">
      <alignment/>
    </xf>
    <xf numFmtId="0" fontId="0" fillId="24" borderId="23" xfId="0" applyFill="1" applyBorder="1" applyAlignment="1">
      <alignment/>
    </xf>
    <xf numFmtId="4" fontId="0" fillId="0" borderId="23" xfId="0" applyNumberFormat="1" applyBorder="1" applyAlignment="1">
      <alignment/>
    </xf>
    <xf numFmtId="2" fontId="35" fillId="0" borderId="34" xfId="0" applyNumberFormat="1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49" fontId="31" fillId="0" borderId="33" xfId="0" applyNumberFormat="1" applyFont="1" applyFill="1" applyBorder="1" applyAlignment="1">
      <alignment horizontal="left" vertical="center" wrapText="1"/>
    </xf>
    <xf numFmtId="49" fontId="31" fillId="0" borderId="33" xfId="0" applyNumberFormat="1" applyFont="1" applyFill="1" applyBorder="1" applyAlignment="1">
      <alignment horizontal="left" wrapText="1"/>
    </xf>
    <xf numFmtId="0" fontId="0" fillId="20" borderId="19" xfId="0" applyFill="1" applyBorder="1" applyAlignment="1">
      <alignment/>
    </xf>
    <xf numFmtId="0" fontId="15" fillId="0" borderId="60" xfId="0" applyFont="1" applyBorder="1" applyAlignment="1">
      <alignment horizontal="center" vertical="center"/>
    </xf>
    <xf numFmtId="0" fontId="15" fillId="0" borderId="34" xfId="0" applyNumberFormat="1" applyFont="1" applyFill="1" applyBorder="1" applyAlignment="1">
      <alignment vertical="center" wrapText="1"/>
    </xf>
    <xf numFmtId="4" fontId="0" fillId="0" borderId="62" xfId="0" applyNumberFormat="1" applyFont="1" applyBorder="1" applyAlignment="1">
      <alignment horizontal="center" vertical="center"/>
    </xf>
    <xf numFmtId="0" fontId="2" fillId="11" borderId="14" xfId="0" applyFont="1" applyFill="1" applyBorder="1" applyAlignment="1">
      <alignment vertical="center"/>
    </xf>
    <xf numFmtId="4" fontId="53" fillId="0" borderId="18" xfId="0" applyNumberFormat="1" applyFont="1" applyFill="1" applyBorder="1" applyAlignment="1">
      <alignment horizontal="center" vertical="center" wrapText="1"/>
    </xf>
    <xf numFmtId="0" fontId="0" fillId="17" borderId="0" xfId="0" applyFont="1" applyFill="1" applyBorder="1" applyAlignment="1">
      <alignment/>
    </xf>
    <xf numFmtId="0" fontId="14" fillId="5" borderId="0" xfId="0" applyFont="1" applyFill="1" applyBorder="1" applyAlignment="1">
      <alignment horizontal="right"/>
    </xf>
    <xf numFmtId="0" fontId="0" fillId="5" borderId="0" xfId="0" applyFill="1" applyBorder="1" applyAlignment="1">
      <alignment/>
    </xf>
    <xf numFmtId="3" fontId="0" fillId="5" borderId="14" xfId="0" applyNumberFormat="1" applyFill="1" applyBorder="1" applyAlignment="1">
      <alignment horizontal="right"/>
    </xf>
    <xf numFmtId="4" fontId="52" fillId="0" borderId="22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4" fontId="52" fillId="0" borderId="18" xfId="0" applyNumberFormat="1" applyFont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0" fontId="2" fillId="2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" fontId="0" fillId="20" borderId="14" xfId="0" applyNumberFormat="1" applyFill="1" applyBorder="1" applyAlignment="1">
      <alignment horizontal="right"/>
    </xf>
    <xf numFmtId="4" fontId="0" fillId="11" borderId="14" xfId="0" applyNumberFormat="1" applyFill="1" applyBorder="1" applyAlignment="1">
      <alignment horizontal="right"/>
    </xf>
    <xf numFmtId="4" fontId="0" fillId="15" borderId="14" xfId="0" applyNumberFormat="1" applyFill="1" applyBorder="1" applyAlignment="1">
      <alignment horizontal="right"/>
    </xf>
    <xf numFmtId="4" fontId="0" fillId="24" borderId="14" xfId="0" applyNumberFormat="1" applyFill="1" applyBorder="1" applyAlignment="1">
      <alignment/>
    </xf>
    <xf numFmtId="0" fontId="1" fillId="0" borderId="0" xfId="0" applyFont="1" applyAlignment="1">
      <alignment horizontal="center"/>
    </xf>
    <xf numFmtId="4" fontId="53" fillId="0" borderId="19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8" fillId="10" borderId="14" xfId="0" applyNumberFormat="1" applyFont="1" applyFill="1" applyBorder="1" applyAlignment="1">
      <alignment horizontal="left" vertical="center"/>
    </xf>
    <xf numFmtId="0" fontId="0" fillId="17" borderId="58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left" wrapText="1"/>
    </xf>
    <xf numFmtId="0" fontId="34" fillId="0" borderId="37" xfId="0" applyFont="1" applyFill="1" applyBorder="1" applyAlignment="1">
      <alignment/>
    </xf>
    <xf numFmtId="2" fontId="34" fillId="0" borderId="37" xfId="0" applyNumberFormat="1" applyFont="1" applyFill="1" applyBorder="1" applyAlignment="1">
      <alignment horizontal="center"/>
    </xf>
    <xf numFmtId="4" fontId="34" fillId="0" borderId="37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left" wrapText="1"/>
    </xf>
    <xf numFmtId="4" fontId="31" fillId="0" borderId="39" xfId="0" applyNumberFormat="1" applyFont="1" applyFill="1" applyBorder="1" applyAlignment="1">
      <alignment horizontal="center"/>
    </xf>
    <xf numFmtId="0" fontId="17" fillId="0" borderId="33" xfId="0" applyFont="1" applyBorder="1" applyAlignment="1">
      <alignment wrapText="1"/>
    </xf>
    <xf numFmtId="0" fontId="15" fillId="0" borderId="33" xfId="0" applyFont="1" applyFill="1" applyBorder="1" applyAlignment="1">
      <alignment/>
    </xf>
    <xf numFmtId="0" fontId="42" fillId="0" borderId="37" xfId="0" applyFont="1" applyFill="1" applyBorder="1" applyAlignment="1">
      <alignment horizontal="left" wrapText="1"/>
    </xf>
    <xf numFmtId="0" fontId="0" fillId="0" borderId="37" xfId="0" applyBorder="1" applyAlignment="1">
      <alignment/>
    </xf>
    <xf numFmtId="49" fontId="28" fillId="0" borderId="19" xfId="0" applyNumberFormat="1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left" wrapText="1"/>
    </xf>
    <xf numFmtId="0" fontId="1" fillId="0" borderId="19" xfId="0" applyFont="1" applyBorder="1" applyAlignment="1">
      <alignment/>
    </xf>
    <xf numFmtId="0" fontId="27" fillId="0" borderId="19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4" fontId="39" fillId="0" borderId="35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31" fillId="0" borderId="37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0" fillId="0" borderId="34" xfId="0" applyFont="1" applyFill="1" applyBorder="1" applyAlignment="1">
      <alignment horizontal="center" wrapText="1"/>
    </xf>
    <xf numFmtId="4" fontId="11" fillId="0" borderId="3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72" fontId="31" fillId="0" borderId="24" xfId="0" applyNumberFormat="1" applyFont="1" applyFill="1" applyBorder="1" applyAlignment="1">
      <alignment horizontal="center"/>
    </xf>
    <xf numFmtId="0" fontId="28" fillId="0" borderId="33" xfId="0" applyNumberFormat="1" applyFont="1" applyFill="1" applyBorder="1" applyAlignment="1">
      <alignment horizontal="left"/>
    </xf>
    <xf numFmtId="0" fontId="34" fillId="0" borderId="19" xfId="0" applyFont="1" applyFill="1" applyBorder="1" applyAlignment="1">
      <alignment/>
    </xf>
    <xf numFmtId="4" fontId="34" fillId="0" borderId="19" xfId="0" applyNumberFormat="1" applyFont="1" applyFill="1" applyBorder="1" applyAlignment="1">
      <alignment horizontal="center"/>
    </xf>
    <xf numFmtId="2" fontId="34" fillId="0" borderId="19" xfId="0" applyNumberFormat="1" applyFont="1" applyFill="1" applyBorder="1" applyAlignment="1">
      <alignment horizontal="center"/>
    </xf>
    <xf numFmtId="49" fontId="40" fillId="0" borderId="37" xfId="0" applyNumberFormat="1" applyFont="1" applyFill="1" applyBorder="1" applyAlignment="1">
      <alignment horizontal="left" wrapText="1"/>
    </xf>
    <xf numFmtId="0" fontId="35" fillId="0" borderId="18" xfId="0" applyFont="1" applyFill="1" applyBorder="1" applyAlignment="1">
      <alignment horizontal="left" wrapText="1"/>
    </xf>
    <xf numFmtId="0" fontId="43" fillId="0" borderId="18" xfId="0" applyFont="1" applyFill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center"/>
    </xf>
    <xf numFmtId="0" fontId="43" fillId="0" borderId="33" xfId="0" applyFont="1" applyFill="1" applyBorder="1" applyAlignment="1">
      <alignment horizontal="left" wrapText="1"/>
    </xf>
    <xf numFmtId="4" fontId="1" fillId="0" borderId="33" xfId="0" applyNumberFormat="1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/>
    </xf>
    <xf numFmtId="0" fontId="47" fillId="0" borderId="37" xfId="0" applyFont="1" applyBorder="1" applyAlignment="1">
      <alignment horizontal="center"/>
    </xf>
    <xf numFmtId="49" fontId="40" fillId="0" borderId="18" xfId="0" applyNumberFormat="1" applyFont="1" applyFill="1" applyBorder="1" applyAlignment="1">
      <alignment horizontal="left" wrapText="1"/>
    </xf>
    <xf numFmtId="0" fontId="35" fillId="0" borderId="34" xfId="0" applyFont="1" applyFill="1" applyBorder="1" applyAlignment="1">
      <alignment horizontal="left" wrapText="1"/>
    </xf>
    <xf numFmtId="4" fontId="0" fillId="0" borderId="36" xfId="0" applyNumberFormat="1" applyFont="1" applyFill="1" applyBorder="1" applyAlignment="1">
      <alignment horizontal="left"/>
    </xf>
    <xf numFmtId="49" fontId="37" fillId="0" borderId="35" xfId="0" applyNumberFormat="1" applyFont="1" applyFill="1" applyBorder="1" applyAlignment="1">
      <alignment horizontal="center"/>
    </xf>
    <xf numFmtId="0" fontId="15" fillId="29" borderId="36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4" fontId="31" fillId="0" borderId="36" xfId="0" applyNumberFormat="1" applyFont="1" applyFill="1" applyBorder="1" applyAlignment="1">
      <alignment horizontal="center" vertical="center"/>
    </xf>
    <xf numFmtId="49" fontId="37" fillId="0" borderId="38" xfId="0" applyNumberFormat="1" applyFont="1" applyFill="1" applyBorder="1" applyAlignment="1">
      <alignment horizontal="center"/>
    </xf>
    <xf numFmtId="0" fontId="15" fillId="29" borderId="42" xfId="0" applyFont="1" applyFill="1" applyBorder="1" applyAlignment="1">
      <alignment vertical="center" wrapText="1"/>
    </xf>
    <xf numFmtId="0" fontId="15" fillId="29" borderId="37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" fontId="31" fillId="0" borderId="37" xfId="0" applyNumberFormat="1" applyFont="1" applyFill="1" applyBorder="1" applyAlignment="1">
      <alignment horizontal="center" vertical="center"/>
    </xf>
    <xf numFmtId="4" fontId="31" fillId="0" borderId="42" xfId="0" applyNumberFormat="1" applyFont="1" applyFill="1" applyBorder="1" applyAlignment="1">
      <alignment horizontal="center" vertical="center"/>
    </xf>
    <xf numFmtId="4" fontId="15" fillId="0" borderId="36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" fontId="35" fillId="0" borderId="33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4" fontId="1" fillId="0" borderId="50" xfId="0" applyNumberFormat="1" applyFont="1" applyBorder="1" applyAlignment="1">
      <alignment horizontal="center"/>
    </xf>
    <xf numFmtId="2" fontId="31" fillId="0" borderId="18" xfId="0" applyNumberFormat="1" applyFont="1" applyFill="1" applyBorder="1" applyAlignment="1">
      <alignment horizontal="left" wrapText="1"/>
    </xf>
    <xf numFmtId="2" fontId="37" fillId="0" borderId="18" xfId="0" applyNumberFormat="1" applyFont="1" applyFill="1" applyBorder="1" applyAlignment="1">
      <alignment horizontal="center"/>
    </xf>
    <xf numFmtId="2" fontId="37" fillId="0" borderId="33" xfId="0" applyNumberFormat="1" applyFont="1" applyFill="1" applyBorder="1" applyAlignment="1">
      <alignment horizontal="center"/>
    </xf>
    <xf numFmtId="4" fontId="15" fillId="0" borderId="36" xfId="0" applyNumberFormat="1" applyFont="1" applyFill="1" applyBorder="1" applyAlignment="1">
      <alignment horizontal="center"/>
    </xf>
    <xf numFmtId="16" fontId="34" fillId="0" borderId="18" xfId="0" applyNumberFormat="1" applyFont="1" applyFill="1" applyBorder="1" applyAlignment="1">
      <alignment horizontal="center"/>
    </xf>
    <xf numFmtId="16" fontId="34" fillId="0" borderId="33" xfId="0" applyNumberFormat="1" applyFont="1" applyFill="1" applyBorder="1" applyAlignment="1">
      <alignment horizontal="center"/>
    </xf>
    <xf numFmtId="4" fontId="31" fillId="0" borderId="34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37" fillId="0" borderId="35" xfId="0" applyFont="1" applyFill="1" applyBorder="1" applyAlignment="1">
      <alignment horizontal="center"/>
    </xf>
    <xf numFmtId="49" fontId="40" fillId="0" borderId="33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49" fontId="40" fillId="0" borderId="18" xfId="0" applyNumberFormat="1" applyFont="1" applyFill="1" applyBorder="1" applyAlignment="1">
      <alignment horizontal="center"/>
    </xf>
    <xf numFmtId="49" fontId="36" fillId="0" borderId="35" xfId="0" applyNumberFormat="1" applyFont="1" applyFill="1" applyBorder="1" applyAlignment="1">
      <alignment horizontal="center"/>
    </xf>
    <xf numFmtId="0" fontId="13" fillId="29" borderId="36" xfId="0" applyFont="1" applyFill="1" applyBorder="1" applyAlignment="1">
      <alignment vertical="center" wrapText="1"/>
    </xf>
    <xf numFmtId="0" fontId="13" fillId="29" borderId="33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/>
    </xf>
    <xf numFmtId="4" fontId="54" fillId="0" borderId="33" xfId="0" applyNumberFormat="1" applyFont="1" applyFill="1" applyBorder="1" applyAlignment="1">
      <alignment horizontal="center"/>
    </xf>
    <xf numFmtId="4" fontId="45" fillId="0" borderId="33" xfId="0" applyNumberFormat="1" applyFont="1" applyFill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2" fontId="13" fillId="20" borderId="34" xfId="0" applyNumberFormat="1" applyFont="1" applyFill="1" applyBorder="1" applyAlignment="1">
      <alignment horizontal="center"/>
    </xf>
    <xf numFmtId="172" fontId="37" fillId="0" borderId="33" xfId="0" applyNumberFormat="1" applyFont="1" applyFill="1" applyBorder="1" applyAlignment="1">
      <alignment horizontal="center"/>
    </xf>
    <xf numFmtId="172" fontId="36" fillId="0" borderId="33" xfId="0" applyNumberFormat="1" applyFont="1" applyFill="1" applyBorder="1" applyAlignment="1">
      <alignment horizontal="center"/>
    </xf>
    <xf numFmtId="181" fontId="37" fillId="0" borderId="33" xfId="0" applyNumberFormat="1" applyFont="1" applyFill="1" applyBorder="1" applyAlignment="1">
      <alignment horizontal="center"/>
    </xf>
    <xf numFmtId="172" fontId="36" fillId="0" borderId="24" xfId="0" applyNumberFormat="1" applyFont="1" applyFill="1" applyBorder="1" applyAlignment="1">
      <alignment horizontal="center"/>
    </xf>
    <xf numFmtId="172" fontId="37" fillId="0" borderId="24" xfId="0" applyNumberFormat="1" applyFont="1" applyFill="1" applyBorder="1" applyAlignment="1">
      <alignment horizontal="center"/>
    </xf>
    <xf numFmtId="4" fontId="13" fillId="20" borderId="18" xfId="0" applyNumberFormat="1" applyFont="1" applyFill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3" fillId="20" borderId="34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35" fillId="0" borderId="33" xfId="0" applyNumberFormat="1" applyFont="1" applyBorder="1" applyAlignment="1">
      <alignment horizontal="center"/>
    </xf>
    <xf numFmtId="4" fontId="31" fillId="0" borderId="33" xfId="0" applyNumberFormat="1" applyFont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 vertical="top"/>
    </xf>
    <xf numFmtId="0" fontId="17" fillId="0" borderId="33" xfId="0" applyFont="1" applyBorder="1" applyAlignment="1">
      <alignment horizontal="left" vertical="center" wrapText="1"/>
    </xf>
    <xf numFmtId="1" fontId="36" fillId="0" borderId="33" xfId="0" applyNumberFormat="1" applyFont="1" applyFill="1" applyBorder="1" applyAlignment="1">
      <alignment horizontal="center"/>
    </xf>
    <xf numFmtId="1" fontId="37" fillId="0" borderId="33" xfId="0" applyNumberFormat="1" applyFont="1" applyFill="1" applyBorder="1" applyAlignment="1">
      <alignment horizontal="center"/>
    </xf>
    <xf numFmtId="172" fontId="27" fillId="0" borderId="24" xfId="0" applyNumberFormat="1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1" fontId="36" fillId="0" borderId="24" xfId="0" applyNumberFormat="1" applyFont="1" applyFill="1" applyBorder="1" applyAlignment="1">
      <alignment horizontal="center"/>
    </xf>
    <xf numFmtId="1" fontId="37" fillId="0" borderId="24" xfId="0" applyNumberFormat="1" applyFont="1" applyFill="1" applyBorder="1" applyAlignment="1">
      <alignment horizontal="center"/>
    </xf>
    <xf numFmtId="1" fontId="27" fillId="0" borderId="34" xfId="0" applyNumberFormat="1" applyFont="1" applyFill="1" applyBorder="1" applyAlignment="1">
      <alignment horizontal="center"/>
    </xf>
    <xf numFmtId="1" fontId="36" fillId="0" borderId="35" xfId="0" applyNumberFormat="1" applyFont="1" applyFill="1" applyBorder="1" applyAlignment="1">
      <alignment horizontal="center"/>
    </xf>
    <xf numFmtId="1" fontId="36" fillId="0" borderId="50" xfId="0" applyNumberFormat="1" applyFont="1" applyFill="1" applyBorder="1" applyAlignment="1">
      <alignment horizontal="center"/>
    </xf>
    <xf numFmtId="1" fontId="37" fillId="0" borderId="35" xfId="0" applyNumberFormat="1" applyFont="1" applyFill="1" applyBorder="1" applyAlignment="1">
      <alignment horizontal="center"/>
    </xf>
    <xf numFmtId="1" fontId="37" fillId="0" borderId="50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37" fillId="0" borderId="34" xfId="0" applyNumberFormat="1" applyFont="1" applyFill="1" applyBorder="1" applyAlignment="1">
      <alignment horizontal="center"/>
    </xf>
    <xf numFmtId="1" fontId="37" fillId="0" borderId="39" xfId="0" applyNumberFormat="1" applyFont="1" applyFill="1" applyBorder="1" applyAlignment="1">
      <alignment horizontal="center"/>
    </xf>
    <xf numFmtId="4" fontId="15" fillId="20" borderId="19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 vertical="center"/>
    </xf>
    <xf numFmtId="0" fontId="13" fillId="20" borderId="0" xfId="0" applyFont="1" applyFill="1" applyBorder="1" applyAlignment="1">
      <alignment horizontal="center" vertical="center" wrapText="1"/>
    </xf>
    <xf numFmtId="1" fontId="13" fillId="20" borderId="0" xfId="0" applyNumberFormat="1" applyFont="1" applyFill="1" applyBorder="1" applyAlignment="1">
      <alignment horizontal="center" vertical="center"/>
    </xf>
    <xf numFmtId="4" fontId="13" fillId="20" borderId="0" xfId="0" applyNumberFormat="1" applyFont="1" applyFill="1" applyBorder="1" applyAlignment="1">
      <alignment horizontal="center" vertical="center"/>
    </xf>
    <xf numFmtId="49" fontId="13" fillId="20" borderId="0" xfId="0" applyNumberFormat="1" applyFont="1" applyFill="1" applyBorder="1" applyAlignment="1">
      <alignment horizontal="center" vertical="center"/>
    </xf>
    <xf numFmtId="49" fontId="35" fillId="20" borderId="0" xfId="0" applyNumberFormat="1" applyFont="1" applyFill="1" applyBorder="1" applyAlignment="1">
      <alignment horizontal="left" wrapText="1"/>
    </xf>
    <xf numFmtId="0" fontId="35" fillId="20" borderId="0" xfId="0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/>
    </xf>
    <xf numFmtId="49" fontId="15" fillId="0" borderId="33" xfId="0" applyNumberFormat="1" applyFont="1" applyFill="1" applyBorder="1" applyAlignment="1">
      <alignment horizontal="left"/>
    </xf>
    <xf numFmtId="49" fontId="15" fillId="0" borderId="33" xfId="0" applyNumberFormat="1" applyFont="1" applyFill="1" applyBorder="1" applyAlignment="1">
      <alignment horizontal="center"/>
    </xf>
    <xf numFmtId="49" fontId="31" fillId="0" borderId="33" xfId="0" applyNumberFormat="1" applyFont="1" applyFill="1" applyBorder="1" applyAlignment="1">
      <alignment horizontal="center"/>
    </xf>
    <xf numFmtId="0" fontId="31" fillId="0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35" fillId="0" borderId="35" xfId="0" applyNumberFormat="1" applyFont="1" applyFill="1" applyBorder="1" applyAlignment="1">
      <alignment horizontal="center"/>
    </xf>
    <xf numFmtId="1" fontId="35" fillId="0" borderId="36" xfId="0" applyNumberFormat="1" applyFont="1" applyFill="1" applyBorder="1" applyAlignment="1">
      <alignment horizontal="center"/>
    </xf>
    <xf numFmtId="1" fontId="35" fillId="0" borderId="50" xfId="0" applyNumberFormat="1" applyFont="1" applyFill="1" applyBorder="1" applyAlignment="1">
      <alignment horizontal="center"/>
    </xf>
    <xf numFmtId="1" fontId="35" fillId="0" borderId="24" xfId="0" applyNumberFormat="1" applyFont="1" applyFill="1" applyBorder="1" applyAlignment="1">
      <alignment horizontal="center"/>
    </xf>
    <xf numFmtId="1" fontId="35" fillId="0" borderId="23" xfId="0" applyNumberFormat="1" applyFont="1" applyFill="1" applyBorder="1" applyAlignment="1">
      <alignment horizontal="center"/>
    </xf>
    <xf numFmtId="1" fontId="35" fillId="0" borderId="39" xfId="0" applyNumberFormat="1" applyFont="1" applyFill="1" applyBorder="1" applyAlignment="1">
      <alignment horizontal="center"/>
    </xf>
    <xf numFmtId="172" fontId="13" fillId="0" borderId="35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31" fillId="0" borderId="24" xfId="0" applyNumberFormat="1" applyFont="1" applyFill="1" applyBorder="1" applyAlignment="1">
      <alignment horizontal="center"/>
    </xf>
    <xf numFmtId="3" fontId="31" fillId="0" borderId="23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1" fontId="15" fillId="0" borderId="35" xfId="0" applyNumberFormat="1" applyFont="1" applyFill="1" applyBorder="1" applyAlignment="1">
      <alignment horizontal="center"/>
    </xf>
    <xf numFmtId="1" fontId="15" fillId="0" borderId="50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31" fillId="0" borderId="33" xfId="0" applyNumberFormat="1" applyFont="1" applyFill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" fontId="31" fillId="0" borderId="5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15" fillId="22" borderId="10" xfId="0" applyNumberFormat="1" applyFont="1" applyFill="1" applyBorder="1" applyAlignment="1">
      <alignment horizontal="center"/>
    </xf>
    <xf numFmtId="1" fontId="15" fillId="22" borderId="13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" fontId="31" fillId="0" borderId="35" xfId="0" applyNumberFormat="1" applyFont="1" applyFill="1" applyBorder="1" applyAlignment="1">
      <alignment horizontal="center"/>
    </xf>
    <xf numFmtId="1" fontId="31" fillId="0" borderId="36" xfId="0" applyNumberFormat="1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" fontId="15" fillId="22" borderId="41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2" fillId="0" borderId="53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23" xfId="0" applyFont="1" applyBorder="1" applyAlignment="1">
      <alignment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72" fontId="13" fillId="0" borderId="36" xfId="0" applyNumberFormat="1" applyFont="1" applyFill="1" applyBorder="1" applyAlignment="1">
      <alignment horizontal="center"/>
    </xf>
    <xf numFmtId="172" fontId="13" fillId="0" borderId="50" xfId="0" applyNumberFormat="1" applyFont="1" applyFill="1" applyBorder="1" applyAlignment="1">
      <alignment horizontal="center"/>
    </xf>
    <xf numFmtId="3" fontId="31" fillId="0" borderId="31" xfId="0" applyNumberFormat="1" applyFont="1" applyFill="1" applyBorder="1" applyAlignment="1">
      <alignment horizontal="center"/>
    </xf>
    <xf numFmtId="3" fontId="31" fillId="0" borderId="52" xfId="0" applyNumberFormat="1" applyFont="1" applyFill="1" applyBorder="1" applyAlignment="1">
      <alignment horizontal="center"/>
    </xf>
    <xf numFmtId="3" fontId="31" fillId="0" borderId="53" xfId="0" applyNumberFormat="1" applyFont="1" applyFill="1" applyBorder="1" applyAlignment="1">
      <alignment horizontal="center"/>
    </xf>
    <xf numFmtId="1" fontId="31" fillId="0" borderId="24" xfId="0" applyNumberFormat="1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1" fontId="31" fillId="0" borderId="39" xfId="0" applyNumberFormat="1" applyFont="1" applyFill="1" applyBorder="1" applyAlignment="1">
      <alignment horizontal="center"/>
    </xf>
    <xf numFmtId="3" fontId="15" fillId="22" borderId="16" xfId="0" applyNumberFormat="1" applyFont="1" applyFill="1" applyBorder="1" applyAlignment="1">
      <alignment horizontal="center"/>
    </xf>
    <xf numFmtId="3" fontId="15" fillId="22" borderId="11" xfId="0" applyNumberFormat="1" applyFont="1" applyFill="1" applyBorder="1" applyAlignment="1">
      <alignment horizontal="center"/>
    </xf>
    <xf numFmtId="3" fontId="15" fillId="22" borderId="51" xfId="0" applyNumberFormat="1" applyFont="1" applyFill="1" applyBorder="1" applyAlignment="1">
      <alignment horizontal="center"/>
    </xf>
    <xf numFmtId="1" fontId="31" fillId="0" borderId="38" xfId="0" applyNumberFormat="1" applyFont="1" applyFill="1" applyBorder="1" applyAlignment="1">
      <alignment horizontal="center"/>
    </xf>
    <xf numFmtId="1" fontId="31" fillId="0" borderId="42" xfId="0" applyNumberFormat="1" applyFont="1" applyFill="1" applyBorder="1" applyAlignment="1">
      <alignment horizontal="center"/>
    </xf>
    <xf numFmtId="1" fontId="31" fillId="0" borderId="43" xfId="0" applyNumberFormat="1" applyFont="1" applyFill="1" applyBorder="1" applyAlignment="1">
      <alignment horizontal="center"/>
    </xf>
    <xf numFmtId="172" fontId="35" fillId="0" borderId="35" xfId="0" applyNumberFormat="1" applyFont="1" applyFill="1" applyBorder="1" applyAlignment="1">
      <alignment horizontal="center"/>
    </xf>
    <xf numFmtId="172" fontId="35" fillId="0" borderId="36" xfId="0" applyNumberFormat="1" applyFont="1" applyFill="1" applyBorder="1" applyAlignment="1">
      <alignment horizontal="center"/>
    </xf>
    <xf numFmtId="172" fontId="35" fillId="0" borderId="50" xfId="0" applyNumberFormat="1" applyFont="1" applyFill="1" applyBorder="1" applyAlignment="1">
      <alignment horizontal="center"/>
    </xf>
    <xf numFmtId="172" fontId="31" fillId="0" borderId="35" xfId="0" applyNumberFormat="1" applyFont="1" applyFill="1" applyBorder="1" applyAlignment="1">
      <alignment horizontal="center"/>
    </xf>
    <xf numFmtId="172" fontId="31" fillId="0" borderId="36" xfId="0" applyNumberFormat="1" applyFont="1" applyFill="1" applyBorder="1" applyAlignment="1">
      <alignment horizontal="center"/>
    </xf>
    <xf numFmtId="172" fontId="31" fillId="0" borderId="5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1" fontId="35" fillId="0" borderId="14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3" fontId="13" fillId="0" borderId="29" xfId="0" applyNumberFormat="1" applyFont="1" applyFill="1" applyBorder="1" applyAlignment="1">
      <alignment horizontal="center"/>
    </xf>
    <xf numFmtId="3" fontId="13" fillId="0" borderId="64" xfId="0" applyNumberFormat="1" applyFont="1" applyFill="1" applyBorder="1" applyAlignment="1">
      <alignment horizontal="center"/>
    </xf>
    <xf numFmtId="3" fontId="13" fillId="0" borderId="65" xfId="0" applyNumberFormat="1" applyFont="1" applyFill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31" fillId="0" borderId="33" xfId="0" applyNumberFormat="1" applyFont="1" applyFill="1" applyBorder="1" applyAlignment="1">
      <alignment horizontal="center"/>
    </xf>
    <xf numFmtId="3" fontId="31" fillId="0" borderId="32" xfId="0" applyNumberFormat="1" applyFont="1" applyFill="1" applyBorder="1" applyAlignment="1">
      <alignment horizontal="center"/>
    </xf>
    <xf numFmtId="3" fontId="15" fillId="0" borderId="35" xfId="0" applyNumberFormat="1" applyFont="1" applyFill="1" applyBorder="1" applyAlignment="1">
      <alignment horizontal="center"/>
    </xf>
    <xf numFmtId="3" fontId="15" fillId="0" borderId="36" xfId="0" applyNumberFormat="1" applyFont="1" applyFill="1" applyBorder="1" applyAlignment="1">
      <alignment horizontal="center"/>
    </xf>
    <xf numFmtId="3" fontId="15" fillId="0" borderId="50" xfId="0" applyNumberFormat="1" applyFont="1" applyFill="1" applyBorder="1" applyAlignment="1">
      <alignment horizontal="center"/>
    </xf>
    <xf numFmtId="0" fontId="13" fillId="22" borderId="16" xfId="0" applyNumberFormat="1" applyFont="1" applyFill="1" applyBorder="1" applyAlignment="1">
      <alignment horizontal="center"/>
    </xf>
    <xf numFmtId="0" fontId="13" fillId="22" borderId="11" xfId="0" applyNumberFormat="1" applyFont="1" applyFill="1" applyBorder="1" applyAlignment="1">
      <alignment horizontal="center"/>
    </xf>
    <xf numFmtId="0" fontId="13" fillId="22" borderId="51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39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3" fontId="31" fillId="0" borderId="35" xfId="0" applyNumberFormat="1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3" fontId="31" fillId="0" borderId="50" xfId="0" applyNumberFormat="1" applyFont="1" applyFill="1" applyBorder="1" applyAlignment="1">
      <alignment horizontal="center"/>
    </xf>
    <xf numFmtId="3" fontId="15" fillId="0" borderId="33" xfId="0" applyNumberFormat="1" applyFont="1" applyFill="1" applyBorder="1" applyAlignment="1">
      <alignment horizontal="center"/>
    </xf>
    <xf numFmtId="3" fontId="35" fillId="0" borderId="35" xfId="0" applyNumberFormat="1" applyFont="1" applyFill="1" applyBorder="1" applyAlignment="1">
      <alignment horizontal="center"/>
    </xf>
    <xf numFmtId="3" fontId="35" fillId="0" borderId="36" xfId="0" applyNumberFormat="1" applyFont="1" applyFill="1" applyBorder="1" applyAlignment="1">
      <alignment horizontal="center"/>
    </xf>
    <xf numFmtId="3" fontId="35" fillId="0" borderId="5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1" fontId="13" fillId="0" borderId="35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1" fontId="13" fillId="0" borderId="50" xfId="0" applyNumberFormat="1" applyFont="1" applyFill="1" applyBorder="1" applyAlignment="1">
      <alignment horizontal="center"/>
    </xf>
    <xf numFmtId="3" fontId="35" fillId="0" borderId="33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3" fontId="15" fillId="0" borderId="64" xfId="0" applyNumberFormat="1" applyFont="1" applyFill="1" applyBorder="1" applyAlignment="1">
      <alignment horizontal="center"/>
    </xf>
    <xf numFmtId="3" fontId="15" fillId="0" borderId="65" xfId="0" applyNumberFormat="1" applyFont="1" applyFill="1" applyBorder="1" applyAlignment="1">
      <alignment horizontal="center"/>
    </xf>
    <xf numFmtId="1" fontId="13" fillId="22" borderId="16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1" fontId="31" fillId="0" borderId="14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31" fillId="0" borderId="12" xfId="0" applyNumberFormat="1" applyFont="1" applyFill="1" applyBorder="1" applyAlignment="1">
      <alignment horizontal="center"/>
    </xf>
    <xf numFmtId="2" fontId="35" fillId="0" borderId="35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2" fontId="35" fillId="0" borderId="50" xfId="0" applyNumberFormat="1" applyFont="1" applyFill="1" applyBorder="1" applyAlignment="1">
      <alignment horizontal="center"/>
    </xf>
    <xf numFmtId="2" fontId="31" fillId="0" borderId="35" xfId="0" applyNumberFormat="1" applyFont="1" applyFill="1" applyBorder="1" applyAlignment="1">
      <alignment horizontal="center"/>
    </xf>
    <xf numFmtId="2" fontId="31" fillId="0" borderId="36" xfId="0" applyNumberFormat="1" applyFont="1" applyFill="1" applyBorder="1" applyAlignment="1">
      <alignment horizontal="center"/>
    </xf>
    <xf numFmtId="2" fontId="31" fillId="0" borderId="5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35" fillId="0" borderId="33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2" fontId="13" fillId="0" borderId="36" xfId="0" applyNumberFormat="1" applyFont="1" applyFill="1" applyBorder="1" applyAlignment="1">
      <alignment horizontal="center"/>
    </xf>
    <xf numFmtId="2" fontId="13" fillId="0" borderId="50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28" fillId="0" borderId="3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13" fillId="22" borderId="41" xfId="0" applyNumberFormat="1" applyFont="1" applyFill="1" applyBorder="1" applyAlignment="1">
      <alignment horizontal="center"/>
    </xf>
    <xf numFmtId="1" fontId="13" fillId="22" borderId="10" xfId="0" applyNumberFormat="1" applyFont="1" applyFill="1" applyBorder="1" applyAlignment="1">
      <alignment horizontal="center"/>
    </xf>
    <xf numFmtId="1" fontId="13" fillId="22" borderId="13" xfId="0" applyNumberFormat="1" applyFont="1" applyFill="1" applyBorder="1" applyAlignment="1">
      <alignment horizontal="center"/>
    </xf>
    <xf numFmtId="1" fontId="15" fillId="0" borderId="35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50" xfId="0" applyNumberFormat="1" applyFont="1" applyFill="1" applyBorder="1" applyAlignment="1">
      <alignment horizontal="center" vertical="center"/>
    </xf>
    <xf numFmtId="1" fontId="31" fillId="0" borderId="35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1" fontId="31" fillId="0" borderId="50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/>
    </xf>
    <xf numFmtId="3" fontId="35" fillId="0" borderId="38" xfId="0" applyNumberFormat="1" applyFont="1" applyFill="1" applyBorder="1" applyAlignment="1">
      <alignment horizontal="center"/>
    </xf>
    <xf numFmtId="3" fontId="35" fillId="0" borderId="42" xfId="0" applyNumberFormat="1" applyFont="1" applyFill="1" applyBorder="1" applyAlignment="1">
      <alignment horizontal="center"/>
    </xf>
    <xf numFmtId="3" fontId="35" fillId="0" borderId="43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>
      <alignment horizontal="center"/>
    </xf>
    <xf numFmtId="3" fontId="31" fillId="0" borderId="42" xfId="0" applyNumberFormat="1" applyFont="1" applyFill="1" applyBorder="1" applyAlignment="1">
      <alignment horizontal="center"/>
    </xf>
    <xf numFmtId="3" fontId="31" fillId="0" borderId="43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13" fillId="20" borderId="41" xfId="0" applyNumberFormat="1" applyFont="1" applyFill="1" applyBorder="1" applyAlignment="1">
      <alignment horizontal="center"/>
    </xf>
    <xf numFmtId="1" fontId="13" fillId="20" borderId="10" xfId="0" applyNumberFormat="1" applyFont="1" applyFill="1" applyBorder="1" applyAlignment="1">
      <alignment horizontal="center"/>
    </xf>
    <xf numFmtId="1" fontId="13" fillId="20" borderId="13" xfId="0" applyNumberFormat="1" applyFont="1" applyFill="1" applyBorder="1" applyAlignment="1">
      <alignment horizontal="center"/>
    </xf>
    <xf numFmtId="183" fontId="34" fillId="0" borderId="35" xfId="0" applyNumberFormat="1" applyFont="1" applyFill="1" applyBorder="1" applyAlignment="1">
      <alignment horizontal="center"/>
    </xf>
    <xf numFmtId="183" fontId="34" fillId="0" borderId="36" xfId="0" applyNumberFormat="1" applyFont="1" applyFill="1" applyBorder="1" applyAlignment="1">
      <alignment horizontal="center"/>
    </xf>
    <xf numFmtId="183" fontId="34" fillId="0" borderId="50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20" borderId="35" xfId="0" applyFont="1" applyFill="1" applyBorder="1" applyAlignment="1">
      <alignment horizontal="center"/>
    </xf>
    <xf numFmtId="0" fontId="15" fillId="20" borderId="36" xfId="0" applyFont="1" applyFill="1" applyBorder="1" applyAlignment="1">
      <alignment horizontal="center"/>
    </xf>
    <xf numFmtId="0" fontId="15" fillId="20" borderId="50" xfId="0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2" fontId="45" fillId="0" borderId="35" xfId="0" applyNumberFormat="1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15" fillId="20" borderId="41" xfId="0" applyFont="1" applyFill="1" applyBorder="1" applyAlignment="1">
      <alignment horizontal="center"/>
    </xf>
    <xf numFmtId="0" fontId="15" fillId="20" borderId="10" xfId="0" applyFont="1" applyFill="1" applyBorder="1" applyAlignment="1">
      <alignment horizontal="center"/>
    </xf>
    <xf numFmtId="0" fontId="15" fillId="20" borderId="13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1" fontId="31" fillId="0" borderId="34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1" fontId="31" fillId="0" borderId="37" xfId="0" applyNumberFormat="1" applyFont="1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" fontId="15" fillId="20" borderId="16" xfId="0" applyNumberFormat="1" applyFont="1" applyFill="1" applyBorder="1" applyAlignment="1">
      <alignment horizontal="center"/>
    </xf>
    <xf numFmtId="3" fontId="15" fillId="20" borderId="11" xfId="0" applyNumberFormat="1" applyFont="1" applyFill="1" applyBorder="1" applyAlignment="1">
      <alignment horizontal="center"/>
    </xf>
    <xf numFmtId="3" fontId="15" fillId="20" borderId="51" xfId="0" applyNumberFormat="1" applyFont="1" applyFill="1" applyBorder="1" applyAlignment="1">
      <alignment horizontal="center"/>
    </xf>
    <xf numFmtId="3" fontId="39" fillId="0" borderId="35" xfId="0" applyNumberFormat="1" applyFont="1" applyBorder="1" applyAlignment="1">
      <alignment horizontal="center"/>
    </xf>
    <xf numFmtId="1" fontId="35" fillId="0" borderId="35" xfId="0" applyNumberFormat="1" applyFont="1" applyFill="1" applyBorder="1" applyAlignment="1">
      <alignment horizontal="center" vertical="center"/>
    </xf>
    <xf numFmtId="1" fontId="35" fillId="0" borderId="36" xfId="0" applyNumberFormat="1" applyFont="1" applyFill="1" applyBorder="1" applyAlignment="1">
      <alignment horizontal="center" vertical="center"/>
    </xf>
    <xf numFmtId="1" fontId="35" fillId="0" borderId="50" xfId="0" applyNumberFormat="1" applyFont="1" applyFill="1" applyBorder="1" applyAlignment="1">
      <alignment horizontal="center" vertical="center"/>
    </xf>
    <xf numFmtId="1" fontId="13" fillId="20" borderId="16" xfId="0" applyNumberFormat="1" applyFont="1" applyFill="1" applyBorder="1" applyAlignment="1">
      <alignment horizontal="center"/>
    </xf>
    <xf numFmtId="1" fontId="13" fillId="20" borderId="11" xfId="0" applyNumberFormat="1" applyFont="1" applyFill="1" applyBorder="1" applyAlignment="1">
      <alignment horizontal="center"/>
    </xf>
    <xf numFmtId="1" fontId="13" fillId="20" borderId="51" xfId="0" applyNumberFormat="1" applyFont="1" applyFill="1" applyBorder="1" applyAlignment="1">
      <alignment horizontal="center"/>
    </xf>
    <xf numFmtId="1" fontId="35" fillId="0" borderId="38" xfId="0" applyNumberFormat="1" applyFont="1" applyFill="1" applyBorder="1" applyAlignment="1">
      <alignment horizontal="center"/>
    </xf>
    <xf numFmtId="1" fontId="35" fillId="0" borderId="42" xfId="0" applyNumberFormat="1" applyFont="1" applyFill="1" applyBorder="1" applyAlignment="1">
      <alignment horizontal="center"/>
    </xf>
    <xf numFmtId="1" fontId="35" fillId="0" borderId="43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" fontId="13" fillId="4" borderId="41" xfId="0" applyNumberFormat="1" applyFont="1" applyFill="1" applyBorder="1" applyAlignment="1">
      <alignment horizontal="center" vertical="center"/>
    </xf>
    <xf numFmtId="1" fontId="13" fillId="4" borderId="13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65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" fontId="15" fillId="0" borderId="5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53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5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" fontId="1" fillId="4" borderId="41" xfId="0" applyNumberFormat="1" applyFont="1" applyFill="1" applyBorder="1" applyAlignment="1">
      <alignment horizontal="center" vertical="center"/>
    </xf>
    <xf numFmtId="1" fontId="1" fillId="4" borderId="1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2" fontId="1" fillId="4" borderId="3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textRotation="90"/>
    </xf>
    <xf numFmtId="4" fontId="22" fillId="0" borderId="18" xfId="0" applyNumberFormat="1" applyFont="1" applyBorder="1" applyAlignment="1">
      <alignment horizontal="center" vertical="center" textRotation="90"/>
    </xf>
    <xf numFmtId="4" fontId="18" fillId="10" borderId="14" xfId="0" applyNumberFormat="1" applyFont="1" applyFill="1" applyBorder="1" applyAlignment="1">
      <alignment horizontal="left" vertical="center" wrapText="1"/>
    </xf>
    <xf numFmtId="4" fontId="18" fillId="10" borderId="0" xfId="0" applyNumberFormat="1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/>
    </xf>
    <xf numFmtId="0" fontId="2" fillId="20" borderId="0" xfId="0" applyFont="1" applyFill="1" applyBorder="1" applyAlignment="1">
      <alignment horizontal="left" vertical="center"/>
    </xf>
    <xf numFmtId="0" fontId="2" fillId="20" borderId="23" xfId="0" applyFont="1" applyFill="1" applyBorder="1" applyAlignment="1">
      <alignment horizontal="left" vertical="center"/>
    </xf>
    <xf numFmtId="0" fontId="33" fillId="0" borderId="14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vertical="center" textRotation="90"/>
    </xf>
    <xf numFmtId="0" fontId="32" fillId="0" borderId="20" xfId="0" applyFont="1" applyBorder="1" applyAlignment="1">
      <alignment horizontal="center" vertical="center" textRotation="90"/>
    </xf>
    <xf numFmtId="0" fontId="32" fillId="0" borderId="18" xfId="0" applyFont="1" applyBorder="1" applyAlignment="1">
      <alignment horizontal="center" vertical="center" textRotation="90"/>
    </xf>
    <xf numFmtId="0" fontId="32" fillId="0" borderId="19" xfId="0" applyFont="1" applyBorder="1" applyAlignment="1">
      <alignment horizontal="center" vertical="center" textRotation="90"/>
    </xf>
    <xf numFmtId="4" fontId="21" fillId="0" borderId="18" xfId="0" applyNumberFormat="1" applyFont="1" applyBorder="1" applyAlignment="1">
      <alignment horizontal="center" vertical="center" textRotation="90"/>
    </xf>
    <xf numFmtId="0" fontId="2" fillId="20" borderId="14" xfId="0" applyFont="1" applyFill="1" applyBorder="1" applyAlignment="1">
      <alignment horizontal="left" vertical="center"/>
    </xf>
    <xf numFmtId="0" fontId="2" fillId="20" borderId="16" xfId="0" applyFont="1" applyFill="1" applyBorder="1" applyAlignment="1">
      <alignment horizontal="left" vertical="center"/>
    </xf>
    <xf numFmtId="0" fontId="2" fillId="20" borderId="14" xfId="0" applyFont="1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4" fontId="51" fillId="0" borderId="20" xfId="0" applyNumberFormat="1" applyFont="1" applyBorder="1" applyAlignment="1">
      <alignment horizontal="center" vertical="center" textRotation="90"/>
    </xf>
    <xf numFmtId="4" fontId="51" fillId="0" borderId="18" xfId="0" applyNumberFormat="1" applyFont="1" applyBorder="1" applyAlignment="1">
      <alignment horizontal="center" vertical="center" textRotation="90"/>
    </xf>
    <xf numFmtId="4" fontId="51" fillId="0" borderId="14" xfId="0" applyNumberFormat="1" applyFont="1" applyBorder="1" applyAlignment="1">
      <alignment horizontal="center" vertical="center" textRotation="90"/>
    </xf>
    <xf numFmtId="4" fontId="51" fillId="0" borderId="19" xfId="0" applyNumberFormat="1" applyFont="1" applyBorder="1" applyAlignment="1">
      <alignment horizontal="center" vertical="center" textRotation="90"/>
    </xf>
    <xf numFmtId="4" fontId="22" fillId="0" borderId="22" xfId="0" applyNumberFormat="1" applyFont="1" applyBorder="1" applyAlignment="1">
      <alignment horizontal="center" vertical="center" textRotation="90"/>
    </xf>
    <xf numFmtId="4" fontId="22" fillId="0" borderId="14" xfId="0" applyNumberFormat="1" applyFont="1" applyBorder="1" applyAlignment="1">
      <alignment horizontal="center" vertical="center" textRotation="90"/>
    </xf>
    <xf numFmtId="0" fontId="22" fillId="0" borderId="20" xfId="0" applyFont="1" applyFill="1" applyBorder="1" applyAlignment="1">
      <alignment horizontal="center" vertical="center" textRotation="90"/>
    </xf>
    <xf numFmtId="0" fontId="22" fillId="0" borderId="18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textRotation="90" readingOrder="2"/>
    </xf>
    <xf numFmtId="4" fontId="22" fillId="0" borderId="18" xfId="0" applyNumberFormat="1" applyFont="1" applyBorder="1" applyAlignment="1">
      <alignment horizontal="center" vertical="center" textRotation="90" readingOrder="2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86;&#1073;&#1084;&#1077;&#1085;%20&#1092;&#1072;&#1081;&#1083;&#1086;&#1074;\&#1076;&#1086;&#1082;&#1080;\&#1076;&#1080;&#1089;&#1082;%20I\&#1050;&#1086;&#1096;&#1090;&#1086;&#1088;&#1080;&#1089;%202016\&#1047;&#1040;&#1043;&#1040;&#1051;&#1068;&#1053;&#1048;&#1049;%20%202016,%20&#1079;&#1084;&#1110;&#1085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0">
      <selection activeCell="E49" sqref="E49"/>
    </sheetView>
  </sheetViews>
  <sheetFormatPr defaultColWidth="9.00390625" defaultRowHeight="12.75"/>
  <cols>
    <col min="1" max="1" width="6.00390625" style="0" customWidth="1"/>
    <col min="2" max="2" width="52.875" style="0" customWidth="1"/>
    <col min="3" max="3" width="8.25390625" style="0" customWidth="1"/>
    <col min="4" max="4" width="7.375" style="0" customWidth="1"/>
    <col min="5" max="5" width="23.375" style="0" customWidth="1"/>
    <col min="6" max="6" width="10.25390625" style="0" customWidth="1"/>
    <col min="10" max="10" width="14.875" style="0" customWidth="1"/>
    <col min="11" max="11" width="13.375" style="0" customWidth="1"/>
  </cols>
  <sheetData>
    <row r="1" spans="1:13" ht="18">
      <c r="A1" s="1270" t="s">
        <v>734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</row>
    <row r="2" spans="1:13" ht="15.75">
      <c r="A2" s="1271" t="s">
        <v>735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3" ht="15.75">
      <c r="A3" s="1271" t="s">
        <v>736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13" ht="15.75">
      <c r="A4" s="1271" t="s">
        <v>32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3" ht="12.75">
      <c r="A5" s="1272"/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</row>
    <row r="6" spans="1:13" ht="12.75">
      <c r="A6" s="1273" t="s">
        <v>715</v>
      </c>
      <c r="B6" s="1273" t="s">
        <v>707</v>
      </c>
      <c r="C6" s="1273" t="s">
        <v>716</v>
      </c>
      <c r="D6" s="1273" t="s">
        <v>712</v>
      </c>
      <c r="E6" s="1273" t="s">
        <v>708</v>
      </c>
      <c r="F6" s="1273" t="s">
        <v>709</v>
      </c>
      <c r="G6" s="1275" t="s">
        <v>33</v>
      </c>
      <c r="H6" s="1276"/>
      <c r="I6" s="1276"/>
      <c r="J6" s="1276"/>
      <c r="K6" s="1276"/>
      <c r="L6" s="1276"/>
      <c r="M6" s="1277"/>
    </row>
    <row r="7" spans="1:13" ht="45.75" thickBot="1">
      <c r="A7" s="1274"/>
      <c r="B7" s="1274"/>
      <c r="C7" s="1274"/>
      <c r="D7" s="1274"/>
      <c r="E7" s="1274"/>
      <c r="F7" s="1274"/>
      <c r="G7" s="1268" t="s">
        <v>710</v>
      </c>
      <c r="H7" s="1269"/>
      <c r="I7" s="1266"/>
      <c r="J7" s="238" t="s">
        <v>808</v>
      </c>
      <c r="K7" s="239" t="s">
        <v>807</v>
      </c>
      <c r="L7" s="557" t="s">
        <v>806</v>
      </c>
      <c r="M7" s="558" t="s">
        <v>786</v>
      </c>
    </row>
    <row r="8" spans="1:13" ht="22.5" customHeight="1" thickBot="1">
      <c r="A8" s="240"/>
      <c r="B8" s="452" t="s">
        <v>810</v>
      </c>
      <c r="C8" s="241"/>
      <c r="D8" s="242"/>
      <c r="E8" s="242"/>
      <c r="F8" s="243"/>
      <c r="G8" s="1255"/>
      <c r="H8" s="1256"/>
      <c r="I8" s="1257"/>
      <c r="J8" s="237">
        <f>J9+J12+J83+J90+J95</f>
        <v>3877554.1100000003</v>
      </c>
      <c r="K8" s="237">
        <f>K9+K12+K83+K90+K95</f>
        <v>3877554.1100000003</v>
      </c>
      <c r="L8" s="294"/>
      <c r="M8" s="227"/>
    </row>
    <row r="9" spans="1:13" ht="31.5" customHeight="1" thickBot="1">
      <c r="A9" s="292" t="s">
        <v>772</v>
      </c>
      <c r="B9" s="453" t="s">
        <v>922</v>
      </c>
      <c r="C9" s="245" t="s">
        <v>773</v>
      </c>
      <c r="D9" s="246" t="s">
        <v>774</v>
      </c>
      <c r="E9" s="247" t="s">
        <v>777</v>
      </c>
      <c r="F9" s="291" t="s">
        <v>853</v>
      </c>
      <c r="G9" s="1263">
        <v>49</v>
      </c>
      <c r="H9" s="1250"/>
      <c r="I9" s="1251"/>
      <c r="J9" s="248">
        <f>J10+J11</f>
        <v>28201.89</v>
      </c>
      <c r="K9" s="248">
        <f>K10+K11</f>
        <v>28201.89</v>
      </c>
      <c r="L9" s="249"/>
      <c r="M9" s="249"/>
    </row>
    <row r="10" spans="1:13" ht="17.25" customHeight="1">
      <c r="A10" s="388">
        <v>1</v>
      </c>
      <c r="B10" s="454" t="s">
        <v>850</v>
      </c>
      <c r="C10" s="250"/>
      <c r="D10" s="251">
        <v>2111</v>
      </c>
      <c r="E10" s="251"/>
      <c r="F10" s="228"/>
      <c r="G10" s="1252"/>
      <c r="H10" s="1253"/>
      <c r="I10" s="1254"/>
      <c r="J10" s="229">
        <f>4366.25+6225.34+6243.31+6281.41</f>
        <v>23116.31</v>
      </c>
      <c r="K10" s="229">
        <f>4366.25+6225.34+6243.31+6281.41</f>
        <v>23116.31</v>
      </c>
      <c r="L10" s="230"/>
      <c r="M10" s="230"/>
    </row>
    <row r="11" spans="1:13" ht="15.75" customHeight="1" thickBot="1">
      <c r="A11" s="435">
        <v>2</v>
      </c>
      <c r="B11" s="455" t="s">
        <v>851</v>
      </c>
      <c r="C11" s="252"/>
      <c r="D11" s="253">
        <v>2120</v>
      </c>
      <c r="E11" s="253"/>
      <c r="F11" s="231"/>
      <c r="G11" s="1267"/>
      <c r="H11" s="1264"/>
      <c r="I11" s="1265"/>
      <c r="J11" s="232">
        <f>960.57+1369.57+1373.53+1381.91</f>
        <v>5085.58</v>
      </c>
      <c r="K11" s="232">
        <f>960.57+1369.57+1373.53+1381.91</f>
        <v>5085.58</v>
      </c>
      <c r="L11" s="233"/>
      <c r="M11" s="233"/>
    </row>
    <row r="12" spans="1:13" ht="29.25" customHeight="1" thickBot="1">
      <c r="A12" s="292" t="s">
        <v>776</v>
      </c>
      <c r="B12" s="489" t="s">
        <v>26</v>
      </c>
      <c r="C12" s="244">
        <v>100203</v>
      </c>
      <c r="D12" s="386">
        <v>2000</v>
      </c>
      <c r="E12" s="490"/>
      <c r="F12" s="491"/>
      <c r="G12" s="389"/>
      <c r="H12" s="492"/>
      <c r="I12" s="492"/>
      <c r="J12" s="387">
        <f>J13+J14+J15+J17++J20+J23+J28+J63+J73+J79</f>
        <v>1210565.37</v>
      </c>
      <c r="K12" s="387">
        <f>K13+K14+K15+K17++K20+K23+K28+K63+K73+K79</f>
        <v>1210565.37</v>
      </c>
      <c r="L12" s="493"/>
      <c r="M12" s="387"/>
    </row>
    <row r="13" spans="1:13" ht="21" customHeight="1">
      <c r="A13" s="488">
        <v>1</v>
      </c>
      <c r="B13" s="456" t="s">
        <v>785</v>
      </c>
      <c r="C13" s="258">
        <v>100203</v>
      </c>
      <c r="D13" s="257">
        <v>2210</v>
      </c>
      <c r="E13" s="336" t="s">
        <v>783</v>
      </c>
      <c r="F13" s="309" t="s">
        <v>812</v>
      </c>
      <c r="G13" s="1247">
        <v>6</v>
      </c>
      <c r="H13" s="1231"/>
      <c r="I13" s="1232"/>
      <c r="J13" s="235">
        <v>2500</v>
      </c>
      <c r="K13" s="235">
        <v>2500</v>
      </c>
      <c r="L13" s="310"/>
      <c r="M13" s="236"/>
    </row>
    <row r="14" spans="1:13" ht="21.75" customHeight="1">
      <c r="A14" s="330">
        <v>2</v>
      </c>
      <c r="B14" s="456" t="s">
        <v>826</v>
      </c>
      <c r="C14" s="258">
        <v>100203</v>
      </c>
      <c r="D14" s="257">
        <v>2240</v>
      </c>
      <c r="E14" s="278" t="s">
        <v>824</v>
      </c>
      <c r="F14" s="309" t="s">
        <v>825</v>
      </c>
      <c r="G14" s="1237">
        <v>85910</v>
      </c>
      <c r="H14" s="1238"/>
      <c r="I14" s="311">
        <v>11.295</v>
      </c>
      <c r="J14" s="235">
        <v>19080.41</v>
      </c>
      <c r="K14" s="235">
        <v>19080.41</v>
      </c>
      <c r="L14" s="310"/>
      <c r="M14" s="236"/>
    </row>
    <row r="15" spans="1:13" ht="43.5" customHeight="1">
      <c r="A15" s="331" t="s">
        <v>795</v>
      </c>
      <c r="B15" s="457" t="s">
        <v>25</v>
      </c>
      <c r="C15" s="257">
        <v>100203</v>
      </c>
      <c r="D15" s="258">
        <v>2240</v>
      </c>
      <c r="E15" s="458"/>
      <c r="F15" s="458"/>
      <c r="G15" s="1233">
        <f>G16</f>
        <v>62976</v>
      </c>
      <c r="H15" s="1261"/>
      <c r="I15" s="1262"/>
      <c r="J15" s="565">
        <f>J16</f>
        <v>61490.91</v>
      </c>
      <c r="K15" s="383">
        <f>K16</f>
        <v>61490.91</v>
      </c>
      <c r="L15" s="234"/>
      <c r="M15" s="235"/>
    </row>
    <row r="16" spans="1:13" ht="21" customHeight="1">
      <c r="A16" s="337" t="s">
        <v>896</v>
      </c>
      <c r="B16" s="381" t="s">
        <v>904</v>
      </c>
      <c r="C16" s="281"/>
      <c r="D16" s="340"/>
      <c r="E16" s="325" t="s">
        <v>756</v>
      </c>
      <c r="F16" s="341" t="s">
        <v>711</v>
      </c>
      <c r="G16" s="1234">
        <f>38161+12577+12238</f>
        <v>62976</v>
      </c>
      <c r="H16" s="1235"/>
      <c r="I16" s="1236"/>
      <c r="J16" s="332">
        <f>46574.08+14916.83</f>
        <v>61490.91</v>
      </c>
      <c r="K16" s="332">
        <f>46574.08+14916.83</f>
        <v>61490.91</v>
      </c>
      <c r="L16" s="332"/>
      <c r="M16" s="272"/>
    </row>
    <row r="17" spans="1:13" ht="30.75" customHeight="1">
      <c r="A17" s="331" t="s">
        <v>796</v>
      </c>
      <c r="B17" s="459" t="s">
        <v>916</v>
      </c>
      <c r="C17" s="255">
        <v>100203</v>
      </c>
      <c r="D17" s="254">
        <v>2240</v>
      </c>
      <c r="E17" s="458"/>
      <c r="F17" s="458"/>
      <c r="G17" s="1260">
        <f>G18+G19</f>
        <v>670</v>
      </c>
      <c r="H17" s="1261"/>
      <c r="I17" s="1262"/>
      <c r="J17" s="565">
        <f>J18+J19</f>
        <v>75245.77</v>
      </c>
      <c r="K17" s="383">
        <f>K18+K19</f>
        <v>75245.77</v>
      </c>
      <c r="L17" s="234"/>
      <c r="M17" s="234"/>
    </row>
    <row r="18" spans="1:13" ht="21" customHeight="1">
      <c r="A18" s="460" t="s">
        <v>899</v>
      </c>
      <c r="B18" s="381" t="s">
        <v>904</v>
      </c>
      <c r="C18" s="461"/>
      <c r="D18" s="461"/>
      <c r="E18" s="281" t="s">
        <v>756</v>
      </c>
      <c r="F18" s="282" t="s">
        <v>758</v>
      </c>
      <c r="G18" s="1243">
        <f>230+150</f>
        <v>380</v>
      </c>
      <c r="H18" s="1243"/>
      <c r="I18" s="1243"/>
      <c r="J18" s="272">
        <f>28801.24+20161.12</f>
        <v>48962.36</v>
      </c>
      <c r="K18" s="272">
        <f>28801.24+20161.12</f>
        <v>48962.36</v>
      </c>
      <c r="L18" s="461"/>
      <c r="M18" s="461"/>
    </row>
    <row r="19" spans="1:13" ht="18" customHeight="1">
      <c r="A19" s="460" t="s">
        <v>900</v>
      </c>
      <c r="B19" s="382" t="s">
        <v>906</v>
      </c>
      <c r="C19" s="461"/>
      <c r="D19" s="461"/>
      <c r="E19" s="325" t="s">
        <v>756</v>
      </c>
      <c r="F19" s="282" t="s">
        <v>758</v>
      </c>
      <c r="G19" s="1244">
        <f>290</f>
        <v>290</v>
      </c>
      <c r="H19" s="1245"/>
      <c r="I19" s="1246"/>
      <c r="J19" s="566">
        <f>26283.41</f>
        <v>26283.41</v>
      </c>
      <c r="K19" s="384">
        <f>26283.41</f>
        <v>26283.41</v>
      </c>
      <c r="L19" s="461"/>
      <c r="M19" s="461"/>
    </row>
    <row r="20" spans="1:13" ht="31.5" customHeight="1">
      <c r="A20" s="331" t="s">
        <v>797</v>
      </c>
      <c r="B20" s="462" t="s">
        <v>905</v>
      </c>
      <c r="C20" s="255">
        <v>100203</v>
      </c>
      <c r="D20" s="254">
        <v>2240</v>
      </c>
      <c r="E20" s="458"/>
      <c r="F20" s="458"/>
      <c r="G20" s="1260">
        <f>G21+G22</f>
        <v>834</v>
      </c>
      <c r="H20" s="1261"/>
      <c r="I20" s="1262"/>
      <c r="J20" s="565">
        <f>J21+J22</f>
        <v>50309.28</v>
      </c>
      <c r="K20" s="383">
        <f>K21+K22</f>
        <v>50309.28</v>
      </c>
      <c r="L20" s="360"/>
      <c r="M20" s="380"/>
    </row>
    <row r="21" spans="1:13" ht="22.5" customHeight="1">
      <c r="A21" s="337" t="s">
        <v>897</v>
      </c>
      <c r="B21" s="381" t="s">
        <v>904</v>
      </c>
      <c r="C21" s="281"/>
      <c r="D21" s="340"/>
      <c r="E21" s="281" t="s">
        <v>756</v>
      </c>
      <c r="F21" s="282" t="s">
        <v>758</v>
      </c>
      <c r="G21" s="1243">
        <f>430+221</f>
        <v>651</v>
      </c>
      <c r="H21" s="1243"/>
      <c r="I21" s="1243"/>
      <c r="J21" s="272">
        <f>26986.08+13945.53</f>
        <v>40931.61</v>
      </c>
      <c r="K21" s="272">
        <f>26986.08+13945.53</f>
        <v>40931.61</v>
      </c>
      <c r="L21" s="272"/>
      <c r="M21" s="273"/>
    </row>
    <row r="22" spans="1:13" ht="19.5" customHeight="1">
      <c r="A22" s="337" t="s">
        <v>903</v>
      </c>
      <c r="B22" s="382" t="s">
        <v>906</v>
      </c>
      <c r="C22" s="281"/>
      <c r="D22" s="340"/>
      <c r="E22" s="281" t="s">
        <v>756</v>
      </c>
      <c r="F22" s="282" t="s">
        <v>758</v>
      </c>
      <c r="G22" s="1258">
        <f>183</f>
        <v>183</v>
      </c>
      <c r="H22" s="1259"/>
      <c r="I22" s="1248"/>
      <c r="J22" s="272">
        <f>9377.67</f>
        <v>9377.67</v>
      </c>
      <c r="K22" s="272">
        <f>9377.67</f>
        <v>9377.67</v>
      </c>
      <c r="L22" s="272"/>
      <c r="M22" s="273"/>
    </row>
    <row r="23" spans="1:13" ht="37.5" customHeight="1">
      <c r="A23" s="331" t="s">
        <v>798</v>
      </c>
      <c r="B23" s="463" t="s">
        <v>948</v>
      </c>
      <c r="C23" s="257">
        <v>100203</v>
      </c>
      <c r="D23" s="258">
        <v>2240</v>
      </c>
      <c r="E23" s="458"/>
      <c r="F23" s="458"/>
      <c r="G23" s="1239"/>
      <c r="H23" s="1240"/>
      <c r="I23" s="1240"/>
      <c r="J23" s="565">
        <f>J24+J27</f>
        <v>113001.25</v>
      </c>
      <c r="K23" s="446">
        <f>K24+K27</f>
        <v>113001.25</v>
      </c>
      <c r="L23" s="360"/>
      <c r="M23" s="380"/>
    </row>
    <row r="24" spans="1:13" ht="24" customHeight="1">
      <c r="A24" s="436" t="s">
        <v>901</v>
      </c>
      <c r="B24" s="559" t="s">
        <v>949</v>
      </c>
      <c r="C24" s="325"/>
      <c r="D24" s="447"/>
      <c r="E24" s="464"/>
      <c r="F24" s="461"/>
      <c r="G24" s="1221">
        <f>G25+G26</f>
        <v>123</v>
      </c>
      <c r="H24" s="1222"/>
      <c r="I24" s="1223"/>
      <c r="J24" s="567">
        <f>J25+J26</f>
        <v>82510.14</v>
      </c>
      <c r="K24" s="449">
        <f>K25+K26</f>
        <v>82510.14</v>
      </c>
      <c r="L24" s="360"/>
      <c r="M24" s="380"/>
    </row>
    <row r="25" spans="1:13" ht="18" customHeight="1">
      <c r="A25" s="370"/>
      <c r="B25" s="465" t="s">
        <v>904</v>
      </c>
      <c r="C25" s="281"/>
      <c r="D25" s="340"/>
      <c r="E25" s="325" t="s">
        <v>733</v>
      </c>
      <c r="F25" s="282" t="s">
        <v>713</v>
      </c>
      <c r="G25" s="1258">
        <f>24+99</f>
        <v>123</v>
      </c>
      <c r="H25" s="1259"/>
      <c r="I25" s="1248"/>
      <c r="J25" s="332">
        <f>22819.81+59690.33</f>
        <v>82510.14</v>
      </c>
      <c r="K25" s="332">
        <f>22819.81+59690.33</f>
        <v>82510.14</v>
      </c>
      <c r="L25" s="360"/>
      <c r="M25" s="380"/>
    </row>
    <row r="26" spans="1:13" ht="24" customHeight="1" hidden="1">
      <c r="A26" s="370"/>
      <c r="B26" s="466" t="s">
        <v>906</v>
      </c>
      <c r="C26" s="281"/>
      <c r="D26" s="340"/>
      <c r="E26" s="325" t="s">
        <v>733</v>
      </c>
      <c r="F26" s="318" t="s">
        <v>713</v>
      </c>
      <c r="G26" s="1258"/>
      <c r="H26" s="1259"/>
      <c r="I26" s="1248"/>
      <c r="J26" s="332"/>
      <c r="K26" s="332"/>
      <c r="L26" s="360"/>
      <c r="M26" s="380"/>
    </row>
    <row r="27" spans="1:13" ht="18" customHeight="1">
      <c r="A27" s="436" t="s">
        <v>902</v>
      </c>
      <c r="B27" s="560" t="s">
        <v>947</v>
      </c>
      <c r="C27" s="467"/>
      <c r="D27" s="467"/>
      <c r="E27" s="450" t="s">
        <v>733</v>
      </c>
      <c r="F27" s="451" t="s">
        <v>711</v>
      </c>
      <c r="G27" s="1249">
        <f>51134</f>
        <v>51134</v>
      </c>
      <c r="H27" s="1241"/>
      <c r="I27" s="1242"/>
      <c r="J27" s="568">
        <v>30491.11</v>
      </c>
      <c r="K27" s="494">
        <v>30491.11</v>
      </c>
      <c r="L27" s="272"/>
      <c r="M27" s="273"/>
    </row>
    <row r="28" spans="1:13" ht="31.5" customHeight="1">
      <c r="A28" s="335" t="s">
        <v>821</v>
      </c>
      <c r="B28" s="463" t="s">
        <v>805</v>
      </c>
      <c r="C28" s="257">
        <v>100203</v>
      </c>
      <c r="D28" s="258">
        <v>2240</v>
      </c>
      <c r="E28" s="287"/>
      <c r="F28" s="373" t="s">
        <v>800</v>
      </c>
      <c r="G28" s="374">
        <f>G29+G32+G35+G38+G41+G44+G47+G50+G53+G56</f>
        <v>2858.2000000000003</v>
      </c>
      <c r="H28" s="362"/>
      <c r="I28" s="375">
        <f>I29+I32+I35+I38+I41+I44+I47+I50+I53+I56</f>
        <v>124</v>
      </c>
      <c r="J28" s="235">
        <f>J29+J32+J35+J38+J41+J44+J47+J50+J53+J56</f>
        <v>434196.67000000004</v>
      </c>
      <c r="K28" s="235">
        <f>K29+K32+K35+K38+K41+K44+K47+K50+K53+K56</f>
        <v>434196.67000000004</v>
      </c>
      <c r="L28" s="332"/>
      <c r="M28" s="235"/>
    </row>
    <row r="29" spans="1:13" ht="37.5" customHeight="1">
      <c r="A29" s="337" t="s">
        <v>822</v>
      </c>
      <c r="B29" s="468" t="s">
        <v>907</v>
      </c>
      <c r="C29" s="281"/>
      <c r="D29" s="340"/>
      <c r="E29" s="281"/>
      <c r="F29" s="282" t="s">
        <v>800</v>
      </c>
      <c r="G29" s="377">
        <v>651.5</v>
      </c>
      <c r="H29" s="361"/>
      <c r="I29" s="378">
        <v>17</v>
      </c>
      <c r="J29" s="360">
        <f>J30+J31</f>
        <v>62922.59</v>
      </c>
      <c r="K29" s="360">
        <f>K30+K31</f>
        <v>62922.59</v>
      </c>
      <c r="L29" s="272"/>
      <c r="M29" s="273"/>
    </row>
    <row r="30" spans="1:13" ht="18" customHeight="1">
      <c r="A30" s="333"/>
      <c r="B30" s="469" t="s">
        <v>829</v>
      </c>
      <c r="C30" s="281"/>
      <c r="D30" s="340"/>
      <c r="E30" s="281" t="s">
        <v>793</v>
      </c>
      <c r="F30" s="282" t="s">
        <v>800</v>
      </c>
      <c r="G30" s="283">
        <v>651.5</v>
      </c>
      <c r="H30" s="284"/>
      <c r="I30" s="285">
        <v>17</v>
      </c>
      <c r="J30" s="272">
        <v>62056.84</v>
      </c>
      <c r="K30" s="272">
        <v>62056.84</v>
      </c>
      <c r="L30" s="272"/>
      <c r="M30" s="273"/>
    </row>
    <row r="31" spans="1:13" ht="18" customHeight="1">
      <c r="A31" s="334"/>
      <c r="B31" s="469" t="s">
        <v>830</v>
      </c>
      <c r="C31" s="281"/>
      <c r="D31" s="340"/>
      <c r="E31" s="582" t="s">
        <v>799</v>
      </c>
      <c r="F31" s="282" t="s">
        <v>802</v>
      </c>
      <c r="G31" s="1258">
        <v>1</v>
      </c>
      <c r="H31" s="1259"/>
      <c r="I31" s="1248"/>
      <c r="J31" s="272">
        <v>865.75</v>
      </c>
      <c r="K31" s="272">
        <v>865.75</v>
      </c>
      <c r="L31" s="272"/>
      <c r="M31" s="272"/>
    </row>
    <row r="32" spans="1:13" ht="30" customHeight="1">
      <c r="A32" s="334" t="s">
        <v>823</v>
      </c>
      <c r="B32" s="468" t="s">
        <v>908</v>
      </c>
      <c r="C32" s="281"/>
      <c r="D32" s="340"/>
      <c r="E32" s="302"/>
      <c r="F32" s="282" t="s">
        <v>800</v>
      </c>
      <c r="G32" s="379">
        <v>407.3</v>
      </c>
      <c r="H32" s="378"/>
      <c r="I32" s="378">
        <v>7</v>
      </c>
      <c r="J32" s="360">
        <f>J33+J34</f>
        <v>33214.91</v>
      </c>
      <c r="K32" s="360">
        <f>K33+K34</f>
        <v>33214.91</v>
      </c>
      <c r="L32" s="272"/>
      <c r="M32" s="273"/>
    </row>
    <row r="33" spans="1:13" ht="21" customHeight="1">
      <c r="A33" s="333"/>
      <c r="B33" s="469" t="s">
        <v>829</v>
      </c>
      <c r="C33" s="281"/>
      <c r="D33" s="340"/>
      <c r="E33" s="281" t="s">
        <v>793</v>
      </c>
      <c r="F33" s="282" t="s">
        <v>800</v>
      </c>
      <c r="G33" s="286">
        <v>407.3</v>
      </c>
      <c r="H33" s="285"/>
      <c r="I33" s="285">
        <v>7</v>
      </c>
      <c r="J33" s="272">
        <v>32757.91</v>
      </c>
      <c r="K33" s="272">
        <v>32757.91</v>
      </c>
      <c r="L33" s="272"/>
      <c r="M33" s="273"/>
    </row>
    <row r="34" spans="1:13" ht="18" customHeight="1">
      <c r="A34" s="334"/>
      <c r="B34" s="469" t="s">
        <v>830</v>
      </c>
      <c r="C34" s="281"/>
      <c r="D34" s="340"/>
      <c r="E34" s="582" t="s">
        <v>799</v>
      </c>
      <c r="F34" s="282" t="s">
        <v>802</v>
      </c>
      <c r="G34" s="1243">
        <v>1</v>
      </c>
      <c r="H34" s="1243"/>
      <c r="I34" s="1243"/>
      <c r="J34" s="272">
        <v>457</v>
      </c>
      <c r="K34" s="272">
        <v>457</v>
      </c>
      <c r="L34" s="332"/>
      <c r="M34" s="272"/>
    </row>
    <row r="35" spans="1:13" ht="18" customHeight="1">
      <c r="A35" s="337" t="s">
        <v>841</v>
      </c>
      <c r="B35" s="469" t="s">
        <v>909</v>
      </c>
      <c r="C35" s="281"/>
      <c r="D35" s="340"/>
      <c r="E35" s="281"/>
      <c r="F35" s="282" t="s">
        <v>800</v>
      </c>
      <c r="G35" s="379">
        <f>G36</f>
        <v>394.1</v>
      </c>
      <c r="H35" s="378"/>
      <c r="I35" s="378">
        <f>I36</f>
        <v>14</v>
      </c>
      <c r="J35" s="360">
        <f>J36+J37</f>
        <v>48518.25</v>
      </c>
      <c r="K35" s="360">
        <f>K36+K37</f>
        <v>48518.25</v>
      </c>
      <c r="L35" s="272"/>
      <c r="M35" s="272"/>
    </row>
    <row r="36" spans="1:13" ht="21" customHeight="1">
      <c r="A36" s="333"/>
      <c r="B36" s="469" t="s">
        <v>829</v>
      </c>
      <c r="C36" s="281"/>
      <c r="D36" s="340"/>
      <c r="E36" s="281" t="s">
        <v>793</v>
      </c>
      <c r="F36" s="282" t="s">
        <v>800</v>
      </c>
      <c r="G36" s="286">
        <v>394.1</v>
      </c>
      <c r="H36" s="285"/>
      <c r="I36" s="285">
        <v>14</v>
      </c>
      <c r="J36" s="272">
        <v>47850.25</v>
      </c>
      <c r="K36" s="272">
        <v>47850.25</v>
      </c>
      <c r="L36" s="272"/>
      <c r="M36" s="272"/>
    </row>
    <row r="37" spans="1:13" ht="18" customHeight="1">
      <c r="A37" s="334"/>
      <c r="B37" s="469" t="s">
        <v>830</v>
      </c>
      <c r="C37" s="281"/>
      <c r="D37" s="340"/>
      <c r="E37" s="582" t="s">
        <v>799</v>
      </c>
      <c r="F37" s="282" t="s">
        <v>802</v>
      </c>
      <c r="G37" s="1243">
        <v>1</v>
      </c>
      <c r="H37" s="1243"/>
      <c r="I37" s="1243"/>
      <c r="J37" s="272">
        <v>668</v>
      </c>
      <c r="K37" s="272">
        <v>668</v>
      </c>
      <c r="L37" s="272"/>
      <c r="M37" s="272"/>
    </row>
    <row r="38" spans="1:13" ht="18" customHeight="1">
      <c r="A38" s="337" t="s">
        <v>842</v>
      </c>
      <c r="B38" s="469" t="s">
        <v>910</v>
      </c>
      <c r="C38" s="281"/>
      <c r="D38" s="340"/>
      <c r="E38" s="281"/>
      <c r="F38" s="282" t="s">
        <v>800</v>
      </c>
      <c r="G38" s="378">
        <f>G39</f>
        <v>667</v>
      </c>
      <c r="H38" s="378"/>
      <c r="I38" s="378">
        <f>I39</f>
        <v>19</v>
      </c>
      <c r="J38" s="360">
        <f>J39+J40</f>
        <v>70389.51</v>
      </c>
      <c r="K38" s="360">
        <f>K39+K40</f>
        <v>70389.51</v>
      </c>
      <c r="L38" s="272"/>
      <c r="M38" s="272"/>
    </row>
    <row r="39" spans="1:13" ht="18" customHeight="1">
      <c r="A39" s="333"/>
      <c r="B39" s="469" t="s">
        <v>829</v>
      </c>
      <c r="C39" s="281"/>
      <c r="D39" s="340"/>
      <c r="E39" s="281" t="s">
        <v>793</v>
      </c>
      <c r="F39" s="282" t="s">
        <v>800</v>
      </c>
      <c r="G39" s="285">
        <v>667</v>
      </c>
      <c r="H39" s="285"/>
      <c r="I39" s="285">
        <v>19</v>
      </c>
      <c r="J39" s="272">
        <v>69421.51</v>
      </c>
      <c r="K39" s="272">
        <v>69421.51</v>
      </c>
      <c r="L39" s="272"/>
      <c r="M39" s="272"/>
    </row>
    <row r="40" spans="1:13" ht="18" customHeight="1">
      <c r="A40" s="334"/>
      <c r="B40" s="469" t="s">
        <v>830</v>
      </c>
      <c r="C40" s="281"/>
      <c r="D40" s="340"/>
      <c r="E40" s="582" t="s">
        <v>799</v>
      </c>
      <c r="F40" s="282" t="s">
        <v>802</v>
      </c>
      <c r="G40" s="1243">
        <v>1</v>
      </c>
      <c r="H40" s="1243"/>
      <c r="I40" s="1243"/>
      <c r="J40" s="272">
        <v>968</v>
      </c>
      <c r="K40" s="272">
        <v>968</v>
      </c>
      <c r="L40" s="272"/>
      <c r="M40" s="272"/>
    </row>
    <row r="41" spans="1:13" ht="21" customHeight="1">
      <c r="A41" s="337" t="s">
        <v>843</v>
      </c>
      <c r="B41" s="469" t="s">
        <v>911</v>
      </c>
      <c r="C41" s="281"/>
      <c r="D41" s="340"/>
      <c r="E41" s="281"/>
      <c r="F41" s="282" t="s">
        <v>800</v>
      </c>
      <c r="G41" s="379">
        <f>G42</f>
        <v>637.9</v>
      </c>
      <c r="H41" s="378"/>
      <c r="I41" s="378">
        <f>I42</f>
        <v>17</v>
      </c>
      <c r="J41" s="360">
        <f>J42+J43</f>
        <v>64900.48</v>
      </c>
      <c r="K41" s="360">
        <f>K42+K43</f>
        <v>64900.48</v>
      </c>
      <c r="L41" s="272"/>
      <c r="M41" s="272"/>
    </row>
    <row r="42" spans="1:13" ht="21" customHeight="1">
      <c r="A42" s="333"/>
      <c r="B42" s="469" t="s">
        <v>829</v>
      </c>
      <c r="C42" s="281"/>
      <c r="D42" s="340"/>
      <c r="E42" s="281" t="s">
        <v>793</v>
      </c>
      <c r="F42" s="282" t="s">
        <v>800</v>
      </c>
      <c r="G42" s="338">
        <v>637.9</v>
      </c>
      <c r="H42" s="285"/>
      <c r="I42" s="285">
        <v>17</v>
      </c>
      <c r="J42" s="569">
        <v>64007.48</v>
      </c>
      <c r="K42" s="448">
        <v>64007.48</v>
      </c>
      <c r="L42" s="272"/>
      <c r="M42" s="272"/>
    </row>
    <row r="43" spans="1:13" ht="18" customHeight="1">
      <c r="A43" s="337"/>
      <c r="B43" s="469" t="s">
        <v>830</v>
      </c>
      <c r="C43" s="281"/>
      <c r="D43" s="340"/>
      <c r="E43" s="584" t="s">
        <v>799</v>
      </c>
      <c r="F43" s="282" t="s">
        <v>802</v>
      </c>
      <c r="G43" s="1243">
        <v>1</v>
      </c>
      <c r="H43" s="1243"/>
      <c r="I43" s="1243"/>
      <c r="J43" s="272">
        <v>893</v>
      </c>
      <c r="K43" s="272">
        <v>893</v>
      </c>
      <c r="L43" s="272"/>
      <c r="M43" s="272"/>
    </row>
    <row r="44" spans="1:13" ht="18" customHeight="1">
      <c r="A44" s="337" t="s">
        <v>844</v>
      </c>
      <c r="B44" s="469" t="s">
        <v>912</v>
      </c>
      <c r="C44" s="281"/>
      <c r="D44" s="340"/>
      <c r="E44" s="281"/>
      <c r="F44" s="282" t="s">
        <v>800</v>
      </c>
      <c r="G44" s="378">
        <v>0</v>
      </c>
      <c r="H44" s="378"/>
      <c r="I44" s="378">
        <v>2</v>
      </c>
      <c r="J44" s="360">
        <f>J45+J46</f>
        <v>4182.62</v>
      </c>
      <c r="K44" s="360">
        <f>K45+K46</f>
        <v>4182.62</v>
      </c>
      <c r="L44" s="272"/>
      <c r="M44" s="272"/>
    </row>
    <row r="45" spans="1:13" ht="19.5" customHeight="1">
      <c r="A45" s="333"/>
      <c r="B45" s="469" t="s">
        <v>829</v>
      </c>
      <c r="C45" s="279"/>
      <c r="D45" s="280"/>
      <c r="E45" s="281" t="s">
        <v>793</v>
      </c>
      <c r="F45" s="282" t="s">
        <v>800</v>
      </c>
      <c r="G45" s="285">
        <v>0</v>
      </c>
      <c r="H45" s="285"/>
      <c r="I45" s="285">
        <v>2</v>
      </c>
      <c r="J45" s="272">
        <f>1876.4+2280.22</f>
        <v>4156.62</v>
      </c>
      <c r="K45" s="272">
        <f>1876.4+2280.22</f>
        <v>4156.62</v>
      </c>
      <c r="L45" s="272"/>
      <c r="M45" s="272"/>
    </row>
    <row r="46" spans="1:13" ht="18" customHeight="1">
      <c r="A46" s="334"/>
      <c r="B46" s="469" t="s">
        <v>830</v>
      </c>
      <c r="C46" s="279"/>
      <c r="D46" s="280"/>
      <c r="E46" s="582" t="s">
        <v>799</v>
      </c>
      <c r="F46" s="282" t="s">
        <v>802</v>
      </c>
      <c r="G46" s="1243">
        <v>1</v>
      </c>
      <c r="H46" s="1243"/>
      <c r="I46" s="1243"/>
      <c r="J46" s="272">
        <v>26</v>
      </c>
      <c r="K46" s="272">
        <v>26</v>
      </c>
      <c r="L46" s="272"/>
      <c r="M46" s="272"/>
    </row>
    <row r="47" spans="1:13" ht="19.5" customHeight="1">
      <c r="A47" s="337" t="s">
        <v>917</v>
      </c>
      <c r="B47" s="469" t="s">
        <v>918</v>
      </c>
      <c r="C47" s="313"/>
      <c r="D47" s="314"/>
      <c r="E47" s="325"/>
      <c r="F47" s="318"/>
      <c r="G47" s="353">
        <v>0</v>
      </c>
      <c r="H47" s="354"/>
      <c r="I47" s="378">
        <v>7</v>
      </c>
      <c r="J47" s="360">
        <f>J48</f>
        <v>15039.65</v>
      </c>
      <c r="K47" s="360">
        <f>K48</f>
        <v>15039.65</v>
      </c>
      <c r="L47" s="360"/>
      <c r="M47" s="360"/>
    </row>
    <row r="48" spans="1:13" ht="16.5" customHeight="1">
      <c r="A48" s="339"/>
      <c r="B48" s="469" t="s">
        <v>829</v>
      </c>
      <c r="C48" s="279"/>
      <c r="D48" s="280"/>
      <c r="E48" s="281" t="s">
        <v>793</v>
      </c>
      <c r="F48" s="282" t="s">
        <v>800</v>
      </c>
      <c r="G48" s="285">
        <v>0</v>
      </c>
      <c r="H48" s="285"/>
      <c r="I48" s="285">
        <v>7</v>
      </c>
      <c r="J48" s="272">
        <v>15039.65</v>
      </c>
      <c r="K48" s="272">
        <v>15039.65</v>
      </c>
      <c r="L48" s="272"/>
      <c r="M48" s="272"/>
    </row>
    <row r="49" spans="1:13" ht="16.5" customHeight="1">
      <c r="A49" s="339"/>
      <c r="B49" s="470" t="s">
        <v>830</v>
      </c>
      <c r="C49" s="366"/>
      <c r="D49" s="367"/>
      <c r="E49" s="582" t="s">
        <v>799</v>
      </c>
      <c r="F49" s="282" t="s">
        <v>802</v>
      </c>
      <c r="G49" s="1243">
        <v>1</v>
      </c>
      <c r="H49" s="1243"/>
      <c r="I49" s="1243"/>
      <c r="J49" s="272"/>
      <c r="K49" s="272"/>
      <c r="L49" s="272"/>
      <c r="M49" s="272"/>
    </row>
    <row r="50" spans="1:13" ht="25.5" customHeight="1">
      <c r="A50" s="337" t="s">
        <v>942</v>
      </c>
      <c r="B50" s="469" t="s">
        <v>943</v>
      </c>
      <c r="C50" s="279"/>
      <c r="D50" s="280"/>
      <c r="E50" s="325"/>
      <c r="F50" s="318"/>
      <c r="G50" s="572">
        <f>G51</f>
        <v>100.4</v>
      </c>
      <c r="H50" s="378"/>
      <c r="I50" s="378">
        <f>I51</f>
        <v>4</v>
      </c>
      <c r="J50" s="360">
        <f>J51</f>
        <v>25073.4</v>
      </c>
      <c r="K50" s="360">
        <f>K51</f>
        <v>25073.4</v>
      </c>
      <c r="L50" s="272"/>
      <c r="M50" s="272"/>
    </row>
    <row r="51" spans="1:13" ht="18" customHeight="1">
      <c r="A51" s="333"/>
      <c r="B51" s="469" t="s">
        <v>829</v>
      </c>
      <c r="C51" s="279"/>
      <c r="D51" s="280"/>
      <c r="E51" s="281" t="s">
        <v>793</v>
      </c>
      <c r="F51" s="282" t="s">
        <v>800</v>
      </c>
      <c r="G51" s="286">
        <v>100.4</v>
      </c>
      <c r="H51" s="285"/>
      <c r="I51" s="285">
        <v>4</v>
      </c>
      <c r="J51" s="272">
        <v>25073.4</v>
      </c>
      <c r="K51" s="272">
        <v>25073.4</v>
      </c>
      <c r="L51" s="272"/>
      <c r="M51" s="272"/>
    </row>
    <row r="52" spans="1:13" ht="17.25" customHeight="1">
      <c r="A52" s="339"/>
      <c r="B52" s="470" t="s">
        <v>830</v>
      </c>
      <c r="C52" s="279"/>
      <c r="D52" s="280"/>
      <c r="E52" s="583" t="s">
        <v>799</v>
      </c>
      <c r="F52" s="282" t="s">
        <v>802</v>
      </c>
      <c r="G52" s="1243">
        <v>1</v>
      </c>
      <c r="H52" s="1243"/>
      <c r="I52" s="1243"/>
      <c r="J52" s="272"/>
      <c r="K52" s="272"/>
      <c r="L52" s="272"/>
      <c r="M52" s="272"/>
    </row>
    <row r="53" spans="1:13" ht="18" customHeight="1">
      <c r="A53" s="337" t="s">
        <v>944</v>
      </c>
      <c r="B53" s="469" t="s">
        <v>950</v>
      </c>
      <c r="C53" s="281"/>
      <c r="D53" s="340"/>
      <c r="E53" s="281"/>
      <c r="F53" s="282" t="s">
        <v>800</v>
      </c>
      <c r="G53" s="378">
        <v>0</v>
      </c>
      <c r="H53" s="378"/>
      <c r="I53" s="378">
        <v>23</v>
      </c>
      <c r="J53" s="360">
        <f>J54+J55</f>
        <v>78663.23</v>
      </c>
      <c r="K53" s="360">
        <f>K54+K55</f>
        <v>78663.23</v>
      </c>
      <c r="L53" s="272"/>
      <c r="M53" s="272"/>
    </row>
    <row r="54" spans="1:13" ht="19.5" customHeight="1">
      <c r="A54" s="337"/>
      <c r="B54" s="469" t="s">
        <v>829</v>
      </c>
      <c r="C54" s="279"/>
      <c r="D54" s="280"/>
      <c r="E54" s="281" t="s">
        <v>793</v>
      </c>
      <c r="F54" s="282" t="s">
        <v>800</v>
      </c>
      <c r="G54" s="286">
        <v>628.2</v>
      </c>
      <c r="H54" s="285"/>
      <c r="I54" s="285">
        <v>23</v>
      </c>
      <c r="J54" s="272">
        <v>78663.23</v>
      </c>
      <c r="K54" s="272">
        <v>78663.23</v>
      </c>
      <c r="L54" s="272"/>
      <c r="M54" s="272"/>
    </row>
    <row r="55" spans="1:13" ht="17.25" customHeight="1">
      <c r="A55" s="337"/>
      <c r="B55" s="469" t="s">
        <v>830</v>
      </c>
      <c r="C55" s="279"/>
      <c r="D55" s="280"/>
      <c r="E55" s="582" t="s">
        <v>799</v>
      </c>
      <c r="F55" s="282" t="s">
        <v>802</v>
      </c>
      <c r="G55" s="1243">
        <v>1</v>
      </c>
      <c r="H55" s="1243"/>
      <c r="I55" s="1243"/>
      <c r="J55" s="272"/>
      <c r="K55" s="272"/>
      <c r="L55" s="272"/>
      <c r="M55" s="272"/>
    </row>
    <row r="56" spans="1:13" ht="18" customHeight="1">
      <c r="A56" s="337" t="s">
        <v>951</v>
      </c>
      <c r="B56" s="469" t="s">
        <v>952</v>
      </c>
      <c r="C56" s="281"/>
      <c r="D56" s="340"/>
      <c r="E56" s="281"/>
      <c r="F56" s="282" t="s">
        <v>800</v>
      </c>
      <c r="G56" s="378">
        <v>0</v>
      </c>
      <c r="H56" s="378"/>
      <c r="I56" s="378">
        <v>14</v>
      </c>
      <c r="J56" s="360">
        <f>J57+J58</f>
        <v>31292.03</v>
      </c>
      <c r="K56" s="360">
        <f>K57+K58</f>
        <v>31292.03</v>
      </c>
      <c r="L56" s="272"/>
      <c r="M56" s="272"/>
    </row>
    <row r="57" spans="1:13" ht="19.5" customHeight="1">
      <c r="A57" s="337"/>
      <c r="B57" s="469" t="s">
        <v>829</v>
      </c>
      <c r="C57" s="279"/>
      <c r="D57" s="280"/>
      <c r="E57" s="281" t="s">
        <v>793</v>
      </c>
      <c r="F57" s="282" t="s">
        <v>800</v>
      </c>
      <c r="G57" s="285">
        <v>0</v>
      </c>
      <c r="H57" s="285"/>
      <c r="I57" s="285">
        <v>14</v>
      </c>
      <c r="J57" s="272">
        <v>31292.03</v>
      </c>
      <c r="K57" s="272">
        <v>31292.03</v>
      </c>
      <c r="L57" s="272"/>
      <c r="M57" s="272"/>
    </row>
    <row r="58" spans="1:13" ht="20.25" customHeight="1">
      <c r="A58" s="334"/>
      <c r="B58" s="469" t="s">
        <v>830</v>
      </c>
      <c r="C58" s="279"/>
      <c r="D58" s="280"/>
      <c r="E58" s="582" t="s">
        <v>799</v>
      </c>
      <c r="F58" s="282" t="s">
        <v>802</v>
      </c>
      <c r="G58" s="1243">
        <v>1</v>
      </c>
      <c r="H58" s="1243"/>
      <c r="I58" s="1243"/>
      <c r="J58" s="272"/>
      <c r="K58" s="272"/>
      <c r="L58" s="272"/>
      <c r="M58" s="272"/>
    </row>
    <row r="59" spans="1:13" ht="0.75" customHeight="1" hidden="1">
      <c r="A59" s="334"/>
      <c r="B59" s="469" t="s">
        <v>830</v>
      </c>
      <c r="C59" s="279"/>
      <c r="D59" s="280"/>
      <c r="E59" s="281" t="s">
        <v>799</v>
      </c>
      <c r="F59" s="282" t="s">
        <v>802</v>
      </c>
      <c r="G59" s="1243">
        <v>1</v>
      </c>
      <c r="H59" s="1243"/>
      <c r="I59" s="1243"/>
      <c r="J59" s="272"/>
      <c r="K59" s="272"/>
      <c r="L59" s="272"/>
      <c r="M59" s="272"/>
    </row>
    <row r="60" spans="1:13" ht="0.75" customHeight="1" hidden="1">
      <c r="A60" s="339"/>
      <c r="B60" s="470"/>
      <c r="C60" s="279"/>
      <c r="D60" s="280"/>
      <c r="E60" s="281"/>
      <c r="F60" s="318"/>
      <c r="G60" s="355"/>
      <c r="H60" s="356"/>
      <c r="I60" s="357"/>
      <c r="J60" s="272"/>
      <c r="K60" s="272"/>
      <c r="L60" s="272"/>
      <c r="M60" s="272"/>
    </row>
    <row r="61" spans="1:13" ht="12.75" hidden="1">
      <c r="A61" s="339"/>
      <c r="B61" s="470"/>
      <c r="C61" s="279"/>
      <c r="D61" s="280"/>
      <c r="E61" s="281"/>
      <c r="F61" s="318"/>
      <c r="G61" s="355"/>
      <c r="H61" s="356"/>
      <c r="I61" s="357"/>
      <c r="J61" s="272"/>
      <c r="K61" s="272"/>
      <c r="L61" s="272"/>
      <c r="M61" s="272"/>
    </row>
    <row r="62" spans="1:13" ht="12.75" hidden="1">
      <c r="A62" s="339"/>
      <c r="B62" s="470"/>
      <c r="C62" s="279"/>
      <c r="D62" s="280"/>
      <c r="E62" s="281"/>
      <c r="F62" s="318"/>
      <c r="G62" s="355"/>
      <c r="H62" s="356"/>
      <c r="I62" s="357"/>
      <c r="J62" s="272"/>
      <c r="K62" s="272"/>
      <c r="L62" s="272"/>
      <c r="M62" s="272"/>
    </row>
    <row r="63" spans="1:13" ht="15.75" customHeight="1">
      <c r="A63" s="561">
        <v>8</v>
      </c>
      <c r="B63" s="312" t="s">
        <v>827</v>
      </c>
      <c r="C63" s="326">
        <v>100203</v>
      </c>
      <c r="D63" s="327">
        <v>2240</v>
      </c>
      <c r="E63" s="336"/>
      <c r="F63" s="328" t="s">
        <v>713</v>
      </c>
      <c r="G63" s="1227">
        <f>G67+G70+G64</f>
        <v>3</v>
      </c>
      <c r="H63" s="1228"/>
      <c r="I63" s="1229"/>
      <c r="J63" s="329">
        <f>J64+J67+J70</f>
        <v>24100.68</v>
      </c>
      <c r="K63" s="329">
        <f>K64+K67+K70</f>
        <v>24100.68</v>
      </c>
      <c r="L63" s="316"/>
      <c r="M63" s="316"/>
    </row>
    <row r="64" spans="1:13" ht="19.5" customHeight="1">
      <c r="A64" s="337" t="s">
        <v>828</v>
      </c>
      <c r="B64" s="469" t="s">
        <v>913</v>
      </c>
      <c r="C64" s="281"/>
      <c r="D64" s="340"/>
      <c r="E64" s="281"/>
      <c r="F64" s="530" t="s">
        <v>713</v>
      </c>
      <c r="G64" s="1224">
        <v>1</v>
      </c>
      <c r="H64" s="1225"/>
      <c r="I64" s="1226"/>
      <c r="J64" s="360">
        <f>J65+J66</f>
        <v>5960.599999999999</v>
      </c>
      <c r="K64" s="360">
        <f>K65+K66</f>
        <v>5960.599999999999</v>
      </c>
      <c r="L64" s="272"/>
      <c r="M64" s="272"/>
    </row>
    <row r="65" spans="1:13" ht="16.5" customHeight="1">
      <c r="A65" s="333"/>
      <c r="B65" s="469" t="s">
        <v>829</v>
      </c>
      <c r="C65" s="281"/>
      <c r="D65" s="340"/>
      <c r="E65" s="317" t="s">
        <v>824</v>
      </c>
      <c r="F65" s="318" t="s">
        <v>713</v>
      </c>
      <c r="G65" s="1258">
        <v>1</v>
      </c>
      <c r="H65" s="1259"/>
      <c r="I65" s="1248"/>
      <c r="J65" s="272">
        <v>5860.49</v>
      </c>
      <c r="K65" s="272">
        <v>5860.49</v>
      </c>
      <c r="L65" s="272"/>
      <c r="M65" s="272"/>
    </row>
    <row r="66" spans="1:13" ht="18" customHeight="1">
      <c r="A66" s="334"/>
      <c r="B66" s="469" t="s">
        <v>830</v>
      </c>
      <c r="C66" s="281"/>
      <c r="D66" s="340"/>
      <c r="E66" s="281" t="s">
        <v>799</v>
      </c>
      <c r="F66" s="282" t="s">
        <v>802</v>
      </c>
      <c r="G66" s="1258">
        <v>1</v>
      </c>
      <c r="H66" s="1259"/>
      <c r="I66" s="1248"/>
      <c r="J66" s="272">
        <v>100.11</v>
      </c>
      <c r="K66" s="272">
        <v>100.11</v>
      </c>
      <c r="L66" s="272"/>
      <c r="M66" s="272"/>
    </row>
    <row r="67" spans="1:13" ht="18" customHeight="1">
      <c r="A67" s="334" t="s">
        <v>832</v>
      </c>
      <c r="B67" s="469" t="s">
        <v>914</v>
      </c>
      <c r="C67" s="281"/>
      <c r="D67" s="340"/>
      <c r="E67" s="325"/>
      <c r="F67" s="530" t="s">
        <v>713</v>
      </c>
      <c r="G67" s="1224">
        <v>1</v>
      </c>
      <c r="H67" s="1225"/>
      <c r="I67" s="1226"/>
      <c r="J67" s="360">
        <f>J68+J69</f>
        <v>5540.64</v>
      </c>
      <c r="K67" s="360">
        <f>K68+K69</f>
        <v>5540.64</v>
      </c>
      <c r="L67" s="272"/>
      <c r="M67" s="272"/>
    </row>
    <row r="68" spans="1:13" ht="18" customHeight="1">
      <c r="A68" s="333"/>
      <c r="B68" s="469" t="s">
        <v>829</v>
      </c>
      <c r="C68" s="281"/>
      <c r="D68" s="340"/>
      <c r="E68" s="317" t="s">
        <v>824</v>
      </c>
      <c r="F68" s="318" t="s">
        <v>713</v>
      </c>
      <c r="G68" s="1258">
        <v>1</v>
      </c>
      <c r="H68" s="1259"/>
      <c r="I68" s="1248"/>
      <c r="J68" s="272">
        <v>5447.59</v>
      </c>
      <c r="K68" s="272">
        <v>5447.59</v>
      </c>
      <c r="L68" s="272"/>
      <c r="M68" s="272"/>
    </row>
    <row r="69" spans="1:13" ht="17.25" customHeight="1">
      <c r="A69" s="339"/>
      <c r="B69" s="469" t="s">
        <v>830</v>
      </c>
      <c r="C69" s="281"/>
      <c r="D69" s="340"/>
      <c r="E69" s="281" t="s">
        <v>831</v>
      </c>
      <c r="F69" s="282" t="s">
        <v>802</v>
      </c>
      <c r="G69" s="1258">
        <v>1</v>
      </c>
      <c r="H69" s="1259"/>
      <c r="I69" s="1248"/>
      <c r="J69" s="272">
        <v>93.05</v>
      </c>
      <c r="K69" s="272">
        <v>93.05</v>
      </c>
      <c r="L69" s="272"/>
      <c r="M69" s="272"/>
    </row>
    <row r="70" spans="1:13" ht="21" customHeight="1">
      <c r="A70" s="337" t="s">
        <v>833</v>
      </c>
      <c r="B70" s="471" t="s">
        <v>915</v>
      </c>
      <c r="C70" s="315"/>
      <c r="D70" s="342"/>
      <c r="E70" s="315"/>
      <c r="F70" s="530" t="s">
        <v>713</v>
      </c>
      <c r="G70" s="1224">
        <v>1</v>
      </c>
      <c r="H70" s="1225"/>
      <c r="I70" s="1226"/>
      <c r="J70" s="360">
        <f>J71+J72</f>
        <v>12599.44</v>
      </c>
      <c r="K70" s="360">
        <f>K71+K72</f>
        <v>12599.44</v>
      </c>
      <c r="L70" s="272"/>
      <c r="M70" s="272"/>
    </row>
    <row r="71" spans="1:13" ht="21" customHeight="1">
      <c r="A71" s="339"/>
      <c r="B71" s="469" t="s">
        <v>829</v>
      </c>
      <c r="C71" s="281"/>
      <c r="D71" s="340"/>
      <c r="E71" s="317" t="s">
        <v>824</v>
      </c>
      <c r="F71" s="282" t="s">
        <v>713</v>
      </c>
      <c r="G71" s="1258">
        <v>1</v>
      </c>
      <c r="H71" s="1259"/>
      <c r="I71" s="1248"/>
      <c r="J71" s="272">
        <v>12388.19</v>
      </c>
      <c r="K71" s="272">
        <v>12388.19</v>
      </c>
      <c r="L71" s="272"/>
      <c r="M71" s="272"/>
    </row>
    <row r="72" spans="1:13" ht="18" customHeight="1">
      <c r="A72" s="337"/>
      <c r="B72" s="469" t="s">
        <v>830</v>
      </c>
      <c r="C72" s="281"/>
      <c r="D72" s="340"/>
      <c r="E72" s="281" t="s">
        <v>799</v>
      </c>
      <c r="F72" s="282" t="s">
        <v>802</v>
      </c>
      <c r="G72" s="1289">
        <v>1</v>
      </c>
      <c r="H72" s="1290"/>
      <c r="I72" s="1291"/>
      <c r="J72" s="323">
        <v>211.25</v>
      </c>
      <c r="K72" s="323">
        <v>211.25</v>
      </c>
      <c r="L72" s="323"/>
      <c r="M72" s="323"/>
    </row>
    <row r="73" spans="1:13" ht="16.5" customHeight="1">
      <c r="A73" s="335" t="s">
        <v>834</v>
      </c>
      <c r="B73" s="472" t="s">
        <v>840</v>
      </c>
      <c r="C73" s="255">
        <v>100203</v>
      </c>
      <c r="D73" s="254">
        <v>2240</v>
      </c>
      <c r="E73" s="281"/>
      <c r="F73" s="324" t="s">
        <v>711</v>
      </c>
      <c r="G73" s="1230">
        <f>G74+G77</f>
        <v>728.6</v>
      </c>
      <c r="H73" s="1278"/>
      <c r="I73" s="1279"/>
      <c r="J73" s="234">
        <f>J74+J77</f>
        <v>363297.6</v>
      </c>
      <c r="K73" s="234">
        <f>K74+K77</f>
        <v>363297.6</v>
      </c>
      <c r="L73" s="272"/>
      <c r="M73" s="272"/>
    </row>
    <row r="74" spans="1:13" ht="18" customHeight="1">
      <c r="A74" s="333" t="s">
        <v>877</v>
      </c>
      <c r="B74" s="473" t="s">
        <v>895</v>
      </c>
      <c r="C74" s="281"/>
      <c r="D74" s="340"/>
      <c r="E74" s="281"/>
      <c r="F74" s="341" t="s">
        <v>711</v>
      </c>
      <c r="G74" s="1224">
        <f>G75</f>
        <v>357</v>
      </c>
      <c r="H74" s="1225"/>
      <c r="I74" s="1226"/>
      <c r="J74" s="360">
        <f>J75+J76</f>
        <v>194398.8</v>
      </c>
      <c r="K74" s="360">
        <f>K75+K76</f>
        <v>194398.8</v>
      </c>
      <c r="L74" s="272"/>
      <c r="M74" s="272"/>
    </row>
    <row r="75" spans="1:13" ht="18" customHeight="1">
      <c r="A75" s="502"/>
      <c r="B75" s="470" t="s">
        <v>829</v>
      </c>
      <c r="C75" s="315"/>
      <c r="D75" s="342"/>
      <c r="E75" s="315" t="s">
        <v>838</v>
      </c>
      <c r="F75" s="369" t="s">
        <v>711</v>
      </c>
      <c r="G75" s="1299">
        <v>357</v>
      </c>
      <c r="H75" s="1300"/>
      <c r="I75" s="1301"/>
      <c r="J75" s="316">
        <f>194398.8+J76</f>
        <v>194398.8</v>
      </c>
      <c r="K75" s="272">
        <v>194398.8</v>
      </c>
      <c r="L75" s="272"/>
      <c r="M75" s="272"/>
    </row>
    <row r="76" spans="1:13" ht="16.5" customHeight="1" hidden="1">
      <c r="A76" s="319"/>
      <c r="B76" s="469" t="s">
        <v>830</v>
      </c>
      <c r="C76" s="281"/>
      <c r="D76" s="340"/>
      <c r="E76" s="281" t="s">
        <v>799</v>
      </c>
      <c r="F76" s="282" t="s">
        <v>802</v>
      </c>
      <c r="G76" s="1243">
        <v>1</v>
      </c>
      <c r="H76" s="1243"/>
      <c r="I76" s="1243"/>
      <c r="J76" s="272"/>
      <c r="K76" s="316"/>
      <c r="L76" s="316"/>
      <c r="M76" s="316"/>
    </row>
    <row r="77" spans="1:13" ht="15" customHeight="1">
      <c r="A77" s="319" t="s">
        <v>954</v>
      </c>
      <c r="B77" s="469" t="s">
        <v>955</v>
      </c>
      <c r="C77" s="281"/>
      <c r="D77" s="340"/>
      <c r="E77" s="281"/>
      <c r="F77" s="496" t="s">
        <v>711</v>
      </c>
      <c r="G77" s="1292">
        <f>G78</f>
        <v>371.6</v>
      </c>
      <c r="H77" s="1293"/>
      <c r="I77" s="1294"/>
      <c r="J77" s="497">
        <f>J78</f>
        <v>168898.8</v>
      </c>
      <c r="K77" s="498">
        <f>K78</f>
        <v>168898.8</v>
      </c>
      <c r="L77" s="272"/>
      <c r="M77" s="272"/>
    </row>
    <row r="78" spans="1:13" ht="15" customHeight="1">
      <c r="A78" s="319"/>
      <c r="B78" s="470" t="s">
        <v>829</v>
      </c>
      <c r="C78" s="281"/>
      <c r="D78" s="340"/>
      <c r="E78" s="315" t="s">
        <v>838</v>
      </c>
      <c r="F78" s="369" t="s">
        <v>711</v>
      </c>
      <c r="G78" s="1295">
        <v>371.6</v>
      </c>
      <c r="H78" s="1296"/>
      <c r="I78" s="1297"/>
      <c r="J78" s="495">
        <v>168898.8</v>
      </c>
      <c r="K78" s="495">
        <v>168898.8</v>
      </c>
      <c r="L78" s="272"/>
      <c r="M78" s="272"/>
    </row>
    <row r="79" spans="1:13" ht="16.5" customHeight="1">
      <c r="A79" s="331" t="s">
        <v>839</v>
      </c>
      <c r="B79" s="472" t="s">
        <v>935</v>
      </c>
      <c r="C79" s="474"/>
      <c r="D79" s="474"/>
      <c r="E79" s="474"/>
      <c r="F79" s="474"/>
      <c r="G79" s="1239"/>
      <c r="H79" s="1240"/>
      <c r="I79" s="1298"/>
      <c r="J79" s="570">
        <f>J80</f>
        <v>67342.8</v>
      </c>
      <c r="K79" s="234">
        <f>K80</f>
        <v>67342.8</v>
      </c>
      <c r="L79" s="272"/>
      <c r="M79" s="272"/>
    </row>
    <row r="80" spans="1:13" ht="25.5" customHeight="1">
      <c r="A80" s="370" t="s">
        <v>936</v>
      </c>
      <c r="B80" s="475" t="s">
        <v>956</v>
      </c>
      <c r="C80" s="474">
        <v>100203</v>
      </c>
      <c r="D80" s="474">
        <v>2240</v>
      </c>
      <c r="E80" s="505" t="s">
        <v>937</v>
      </c>
      <c r="F80" s="282" t="s">
        <v>802</v>
      </c>
      <c r="G80" s="1243">
        <v>1</v>
      </c>
      <c r="H80" s="1243"/>
      <c r="I80" s="1243"/>
      <c r="J80" s="497">
        <f>J81</f>
        <v>67342.8</v>
      </c>
      <c r="K80" s="503">
        <f>K81</f>
        <v>67342.8</v>
      </c>
      <c r="L80" s="272"/>
      <c r="M80" s="272"/>
    </row>
    <row r="81" spans="1:13" ht="19.5" customHeight="1" thickBot="1">
      <c r="A81" s="502"/>
      <c r="B81" s="469" t="s">
        <v>829</v>
      </c>
      <c r="C81" s="474"/>
      <c r="D81" s="474"/>
      <c r="E81" s="474"/>
      <c r="F81" s="474"/>
      <c r="G81" s="1243">
        <v>1</v>
      </c>
      <c r="H81" s="1243"/>
      <c r="I81" s="1243"/>
      <c r="J81" s="495">
        <f>67342.8</f>
        <v>67342.8</v>
      </c>
      <c r="K81" s="501">
        <f>67342.8</f>
        <v>67342.8</v>
      </c>
      <c r="L81" s="272"/>
      <c r="M81" s="272"/>
    </row>
    <row r="82" spans="1:13" ht="13.5" hidden="1" thickBot="1">
      <c r="A82" s="504"/>
      <c r="B82" s="470"/>
      <c r="C82" s="474"/>
      <c r="D82" s="480"/>
      <c r="E82" s="288"/>
      <c r="F82" s="547"/>
      <c r="G82" s="548"/>
      <c r="H82" s="549"/>
      <c r="I82" s="550"/>
      <c r="J82" s="551"/>
      <c r="K82" s="551"/>
      <c r="L82" s="289"/>
      <c r="M82" s="289"/>
    </row>
    <row r="83" spans="1:13" ht="26.25" thickBot="1">
      <c r="A83" s="539" t="s">
        <v>28</v>
      </c>
      <c r="B83" s="489" t="s">
        <v>27</v>
      </c>
      <c r="C83" s="244">
        <v>100203</v>
      </c>
      <c r="D83" s="540">
        <v>3000</v>
      </c>
      <c r="E83" s="541"/>
      <c r="F83" s="542"/>
      <c r="G83" s="543"/>
      <c r="H83" s="544"/>
      <c r="I83" s="545"/>
      <c r="J83" s="554">
        <f aca="true" t="shared" si="0" ref="J83:K85">J84</f>
        <v>247791.19</v>
      </c>
      <c r="K83" s="554">
        <f t="shared" si="0"/>
        <v>247791.19</v>
      </c>
      <c r="L83" s="546"/>
      <c r="M83" s="546"/>
    </row>
    <row r="84" spans="1:13" ht="21" customHeight="1">
      <c r="A84" s="552" t="s">
        <v>801</v>
      </c>
      <c r="B84" s="472" t="s">
        <v>891</v>
      </c>
      <c r="C84" s="255">
        <v>100203</v>
      </c>
      <c r="D84" s="254">
        <v>3132</v>
      </c>
      <c r="E84" s="281"/>
      <c r="F84" s="282"/>
      <c r="G84" s="1283"/>
      <c r="H84" s="1284"/>
      <c r="I84" s="1285"/>
      <c r="J84" s="234">
        <f t="shared" si="0"/>
        <v>247791.19</v>
      </c>
      <c r="K84" s="234">
        <f t="shared" si="0"/>
        <v>247791.19</v>
      </c>
      <c r="L84" s="332"/>
      <c r="M84" s="332"/>
    </row>
    <row r="85" spans="1:13" ht="16.5" customHeight="1">
      <c r="A85" s="502" t="s">
        <v>31</v>
      </c>
      <c r="B85" s="472" t="s">
        <v>957</v>
      </c>
      <c r="C85" s="255"/>
      <c r="D85" s="254"/>
      <c r="E85" s="281"/>
      <c r="F85" s="282"/>
      <c r="G85" s="1258"/>
      <c r="H85" s="1259"/>
      <c r="I85" s="1248"/>
      <c r="J85" s="360">
        <f t="shared" si="0"/>
        <v>247791.19</v>
      </c>
      <c r="K85" s="360">
        <f t="shared" si="0"/>
        <v>247791.19</v>
      </c>
      <c r="L85" s="272"/>
      <c r="M85" s="272"/>
    </row>
    <row r="86" spans="1:13" ht="17.25" customHeight="1" thickBot="1">
      <c r="A86" s="80"/>
      <c r="B86" s="469" t="s">
        <v>829</v>
      </c>
      <c r="C86" s="364"/>
      <c r="D86" s="254"/>
      <c r="E86" s="288" t="s">
        <v>838</v>
      </c>
      <c r="F86" s="253"/>
      <c r="G86" s="1280" t="s">
        <v>765</v>
      </c>
      <c r="H86" s="1281"/>
      <c r="I86" s="1282"/>
      <c r="J86" s="289">
        <v>247791.19</v>
      </c>
      <c r="K86" s="289">
        <v>247791.19</v>
      </c>
      <c r="L86" s="272"/>
      <c r="M86" s="272"/>
    </row>
    <row r="87" spans="12:13" ht="3" customHeight="1" hidden="1" thickBot="1">
      <c r="L87" s="360"/>
      <c r="M87" s="360"/>
    </row>
    <row r="88" spans="12:13" ht="13.5" hidden="1" thickBot="1">
      <c r="L88" s="272"/>
      <c r="M88" s="272"/>
    </row>
    <row r="89" spans="12:13" ht="13.5" hidden="1" thickBot="1">
      <c r="L89" s="289"/>
      <c r="M89" s="289"/>
    </row>
    <row r="90" spans="1:13" ht="64.5" thickBot="1">
      <c r="A90" s="539" t="s">
        <v>29</v>
      </c>
      <c r="B90" s="476" t="s">
        <v>809</v>
      </c>
      <c r="C90" s="244">
        <v>100302</v>
      </c>
      <c r="D90" s="244">
        <v>2240</v>
      </c>
      <c r="E90" s="477"/>
      <c r="F90" s="320"/>
      <c r="G90" s="1286"/>
      <c r="H90" s="1287"/>
      <c r="I90" s="1288"/>
      <c r="J90" s="248">
        <f>J91+J92</f>
        <v>53086.880000000005</v>
      </c>
      <c r="K90" s="248">
        <f>K91+K92</f>
        <v>53086.880000000005</v>
      </c>
      <c r="L90" s="249"/>
      <c r="M90" s="321"/>
    </row>
    <row r="91" spans="1:13" ht="24.75" customHeight="1">
      <c r="A91" s="444" t="s">
        <v>801</v>
      </c>
      <c r="B91" s="478" t="s">
        <v>775</v>
      </c>
      <c r="C91" s="259"/>
      <c r="D91" s="260"/>
      <c r="E91" s="346" t="s">
        <v>759</v>
      </c>
      <c r="F91" s="259" t="s">
        <v>760</v>
      </c>
      <c r="G91" s="1302">
        <f>22+11+14+26</f>
        <v>73</v>
      </c>
      <c r="H91" s="1303"/>
      <c r="I91" s="1304"/>
      <c r="J91" s="230">
        <f>5943.39+4884.36+5265.35+6528.49+12857.91</f>
        <v>35479.5</v>
      </c>
      <c r="K91" s="230">
        <f>5943.39+4884.36+5265.35+6528.49+12857.91</f>
        <v>35479.5</v>
      </c>
      <c r="L91" s="229"/>
      <c r="M91" s="230"/>
    </row>
    <row r="92" spans="1:13" ht="24" customHeight="1">
      <c r="A92" s="331" t="s">
        <v>794</v>
      </c>
      <c r="B92" s="479" t="s">
        <v>945</v>
      </c>
      <c r="C92" s="437"/>
      <c r="D92" s="438"/>
      <c r="E92" s="474"/>
      <c r="F92" s="511" t="s">
        <v>713</v>
      </c>
      <c r="G92" s="1305">
        <f>G93+G94</f>
        <v>22</v>
      </c>
      <c r="H92" s="1306"/>
      <c r="I92" s="1306"/>
      <c r="J92" s="565">
        <f>J93+J94</f>
        <v>17607.380000000005</v>
      </c>
      <c r="K92" s="383">
        <f>K93+K94</f>
        <v>17607.380000000005</v>
      </c>
      <c r="L92" s="256"/>
      <c r="M92" s="441"/>
    </row>
    <row r="93" spans="1:13" ht="17.25" customHeight="1">
      <c r="A93" s="508" t="s">
        <v>883</v>
      </c>
      <c r="B93" s="509"/>
      <c r="C93" s="255"/>
      <c r="D93" s="440"/>
      <c r="E93" s="281" t="s">
        <v>739</v>
      </c>
      <c r="F93" s="281" t="s">
        <v>713</v>
      </c>
      <c r="G93" s="1307">
        <f>5+2+10+2</f>
        <v>19</v>
      </c>
      <c r="H93" s="1307"/>
      <c r="I93" s="1307"/>
      <c r="J93" s="272">
        <f>1212.6+226.38+123.49+185.22+605.04+3049.38+1211.86+1208.58+1208.58+3358.36+177.45</f>
        <v>12566.940000000002</v>
      </c>
      <c r="K93" s="272">
        <f>1212.6+226.38+123.49+185.22+605.04+3049.38+1211.86+1208.58+1208.58+3358.36+177.45</f>
        <v>12566.940000000002</v>
      </c>
      <c r="L93" s="272"/>
      <c r="M93" s="360"/>
    </row>
    <row r="94" spans="1:13" ht="18" customHeight="1" thickBot="1">
      <c r="A94" s="436" t="s">
        <v>884</v>
      </c>
      <c r="B94" s="474"/>
      <c r="C94" s="480"/>
      <c r="D94" s="480"/>
      <c r="E94" s="445" t="s">
        <v>946</v>
      </c>
      <c r="F94" s="445" t="s">
        <v>713</v>
      </c>
      <c r="G94" s="1308">
        <v>3</v>
      </c>
      <c r="H94" s="1308"/>
      <c r="I94" s="1308"/>
      <c r="J94" s="289">
        <f>1483.22+1483.22+2074</f>
        <v>5040.4400000000005</v>
      </c>
      <c r="K94" s="289">
        <f>1483.22+1483.22+2074</f>
        <v>5040.4400000000005</v>
      </c>
      <c r="L94" s="481"/>
      <c r="M94" s="481"/>
    </row>
    <row r="95" spans="1:13" ht="42.75" customHeight="1" thickBot="1">
      <c r="A95" s="510" t="s">
        <v>30</v>
      </c>
      <c r="B95" s="482" t="s">
        <v>876</v>
      </c>
      <c r="C95" s="483"/>
      <c r="D95" s="439"/>
      <c r="E95" s="320"/>
      <c r="F95" s="442" t="s">
        <v>711</v>
      </c>
      <c r="G95" s="1312">
        <f>G96+G119</f>
        <v>1725</v>
      </c>
      <c r="H95" s="1313"/>
      <c r="I95" s="1314"/>
      <c r="J95" s="248">
        <f>J96+J119</f>
        <v>2337908.7800000003</v>
      </c>
      <c r="K95" s="248">
        <f>K96+K119</f>
        <v>2337908.7800000003</v>
      </c>
      <c r="L95" s="248"/>
      <c r="M95" s="443"/>
    </row>
    <row r="96" spans="1:13" ht="21" customHeight="1">
      <c r="A96" s="363" t="s">
        <v>801</v>
      </c>
      <c r="B96" s="484" t="s">
        <v>835</v>
      </c>
      <c r="C96" s="257">
        <v>170703</v>
      </c>
      <c r="D96" s="258">
        <v>2240</v>
      </c>
      <c r="E96" s="325"/>
      <c r="F96" s="324" t="s">
        <v>711</v>
      </c>
      <c r="G96" s="1315">
        <f>G97+G100+G103+G106</f>
        <v>1725</v>
      </c>
      <c r="H96" s="1316"/>
      <c r="I96" s="1317"/>
      <c r="J96" s="235">
        <f>J97+J100+J103+J106+J109+J112</f>
        <v>768716.3999999999</v>
      </c>
      <c r="K96" s="235">
        <f>K97+K100+K103+K106+K109+K112</f>
        <v>768716.3999999999</v>
      </c>
      <c r="L96" s="332"/>
      <c r="M96" s="332"/>
    </row>
    <row r="97" spans="1:13" ht="18" customHeight="1">
      <c r="A97" s="337" t="s">
        <v>878</v>
      </c>
      <c r="B97" s="473" t="s">
        <v>836</v>
      </c>
      <c r="C97" s="281"/>
      <c r="D97" s="340"/>
      <c r="E97" s="281"/>
      <c r="F97" s="341" t="s">
        <v>711</v>
      </c>
      <c r="G97" s="1224">
        <v>475</v>
      </c>
      <c r="H97" s="1225"/>
      <c r="I97" s="1226"/>
      <c r="J97" s="360">
        <f>J98+J99</f>
        <v>187593.8</v>
      </c>
      <c r="K97" s="360">
        <f>K98+K99</f>
        <v>187593.8</v>
      </c>
      <c r="L97" s="272"/>
      <c r="M97" s="272"/>
    </row>
    <row r="98" spans="1:13" ht="19.5" customHeight="1">
      <c r="A98" s="333"/>
      <c r="B98" s="469" t="s">
        <v>829</v>
      </c>
      <c r="C98" s="281"/>
      <c r="D98" s="340"/>
      <c r="E98" s="281" t="s">
        <v>838</v>
      </c>
      <c r="F98" s="352" t="s">
        <v>711</v>
      </c>
      <c r="G98" s="1258">
        <f>G97</f>
        <v>475</v>
      </c>
      <c r="H98" s="1259"/>
      <c r="I98" s="1248"/>
      <c r="J98" s="272">
        <v>184750.8</v>
      </c>
      <c r="K98" s="272">
        <v>184750.8</v>
      </c>
      <c r="L98" s="272"/>
      <c r="M98" s="272"/>
    </row>
    <row r="99" spans="1:13" ht="19.5" customHeight="1">
      <c r="A99" s="334"/>
      <c r="B99" s="469" t="s">
        <v>830</v>
      </c>
      <c r="C99" s="281"/>
      <c r="D99" s="340"/>
      <c r="E99" s="281" t="s">
        <v>799</v>
      </c>
      <c r="F99" s="282" t="s">
        <v>802</v>
      </c>
      <c r="G99" s="1258">
        <v>1</v>
      </c>
      <c r="H99" s="1259"/>
      <c r="I99" s="1248"/>
      <c r="J99" s="272">
        <v>2843</v>
      </c>
      <c r="K99" s="272">
        <v>2843</v>
      </c>
      <c r="L99" s="272"/>
      <c r="M99" s="272"/>
    </row>
    <row r="100" spans="1:13" ht="18" customHeight="1">
      <c r="A100" s="337" t="s">
        <v>879</v>
      </c>
      <c r="B100" s="473" t="s">
        <v>837</v>
      </c>
      <c r="C100" s="281"/>
      <c r="D100" s="340"/>
      <c r="E100" s="325"/>
      <c r="F100" s="341" t="s">
        <v>711</v>
      </c>
      <c r="G100" s="1224">
        <f>G101</f>
        <v>430</v>
      </c>
      <c r="H100" s="1225"/>
      <c r="I100" s="1226"/>
      <c r="J100" s="360">
        <f>J101+J102</f>
        <v>193630.6</v>
      </c>
      <c r="K100" s="360">
        <f>K101+K102</f>
        <v>193630.6</v>
      </c>
      <c r="L100" s="272"/>
      <c r="M100" s="272"/>
    </row>
    <row r="101" spans="1:13" ht="15" customHeight="1">
      <c r="A101" s="333"/>
      <c r="B101" s="469" t="s">
        <v>829</v>
      </c>
      <c r="C101" s="281"/>
      <c r="D101" s="340"/>
      <c r="E101" s="281" t="s">
        <v>838</v>
      </c>
      <c r="F101" s="290" t="s">
        <v>711</v>
      </c>
      <c r="G101" s="1258">
        <v>430</v>
      </c>
      <c r="H101" s="1259"/>
      <c r="I101" s="1248"/>
      <c r="J101" s="272">
        <v>190665.6</v>
      </c>
      <c r="K101" s="272">
        <v>190665.6</v>
      </c>
      <c r="L101" s="272"/>
      <c r="M101" s="323"/>
    </row>
    <row r="102" spans="1:13" ht="15" customHeight="1">
      <c r="A102" s="334"/>
      <c r="B102" s="469" t="s">
        <v>830</v>
      </c>
      <c r="C102" s="279"/>
      <c r="D102" s="280"/>
      <c r="E102" s="322" t="s">
        <v>799</v>
      </c>
      <c r="F102" s="282" t="s">
        <v>802</v>
      </c>
      <c r="G102" s="1289">
        <v>1</v>
      </c>
      <c r="H102" s="1290"/>
      <c r="I102" s="1291"/>
      <c r="J102" s="272">
        <v>2965</v>
      </c>
      <c r="K102" s="272">
        <v>2965</v>
      </c>
      <c r="L102" s="272"/>
      <c r="M102" s="323"/>
    </row>
    <row r="103" spans="1:13" ht="15" customHeight="1">
      <c r="A103" s="334" t="s">
        <v>880</v>
      </c>
      <c r="B103" s="473" t="s">
        <v>874</v>
      </c>
      <c r="C103" s="279"/>
      <c r="D103" s="280"/>
      <c r="E103" s="322"/>
      <c r="F103" s="318"/>
      <c r="G103" s="1224">
        <v>440</v>
      </c>
      <c r="H103" s="1225"/>
      <c r="I103" s="1226"/>
      <c r="J103" s="360">
        <f>J104+J105</f>
        <v>174632.8</v>
      </c>
      <c r="K103" s="360">
        <f>K104+K105</f>
        <v>174632.8</v>
      </c>
      <c r="L103" s="272"/>
      <c r="M103" s="323"/>
    </row>
    <row r="104" spans="1:13" ht="15" customHeight="1">
      <c r="A104" s="339"/>
      <c r="B104" s="469" t="s">
        <v>829</v>
      </c>
      <c r="C104" s="281"/>
      <c r="D104" s="340"/>
      <c r="E104" s="281" t="s">
        <v>838</v>
      </c>
      <c r="F104" s="290" t="s">
        <v>711</v>
      </c>
      <c r="G104" s="1258">
        <v>440</v>
      </c>
      <c r="H104" s="1259"/>
      <c r="I104" s="1248"/>
      <c r="J104" s="272">
        <v>171988.8</v>
      </c>
      <c r="K104" s="272">
        <v>171988.8</v>
      </c>
      <c r="L104" s="272"/>
      <c r="M104" s="323"/>
    </row>
    <row r="105" spans="1:13" ht="15" customHeight="1">
      <c r="A105" s="334"/>
      <c r="B105" s="469" t="s">
        <v>830</v>
      </c>
      <c r="C105" s="279"/>
      <c r="D105" s="280"/>
      <c r="E105" s="281" t="s">
        <v>799</v>
      </c>
      <c r="F105" s="282" t="s">
        <v>802</v>
      </c>
      <c r="G105" s="1258">
        <v>1</v>
      </c>
      <c r="H105" s="1259"/>
      <c r="I105" s="1248"/>
      <c r="J105" s="272">
        <v>2644</v>
      </c>
      <c r="K105" s="272">
        <v>2644</v>
      </c>
      <c r="L105" s="272"/>
      <c r="M105" s="323"/>
    </row>
    <row r="106" spans="1:13" ht="16.5" customHeight="1">
      <c r="A106" s="334" t="s">
        <v>881</v>
      </c>
      <c r="B106" s="473" t="s">
        <v>875</v>
      </c>
      <c r="C106" s="279"/>
      <c r="D106" s="280"/>
      <c r="E106" s="281"/>
      <c r="F106" s="282"/>
      <c r="G106" s="1224">
        <v>380</v>
      </c>
      <c r="H106" s="1225"/>
      <c r="I106" s="1226"/>
      <c r="J106" s="360">
        <f>J107+J108</f>
        <v>154686</v>
      </c>
      <c r="K106" s="360">
        <f>K107+K108</f>
        <v>154686</v>
      </c>
      <c r="L106" s="272"/>
      <c r="M106" s="323"/>
    </row>
    <row r="107" spans="1:13" ht="15" customHeight="1">
      <c r="A107" s="337"/>
      <c r="B107" s="469" t="s">
        <v>829</v>
      </c>
      <c r="C107" s="281"/>
      <c r="D107" s="340"/>
      <c r="E107" s="281" t="s">
        <v>838</v>
      </c>
      <c r="F107" s="352" t="s">
        <v>711</v>
      </c>
      <c r="G107" s="1258">
        <v>380</v>
      </c>
      <c r="H107" s="1259"/>
      <c r="I107" s="1248"/>
      <c r="J107" s="272">
        <v>152346</v>
      </c>
      <c r="K107" s="272">
        <v>152346</v>
      </c>
      <c r="L107" s="272"/>
      <c r="M107" s="323"/>
    </row>
    <row r="108" spans="1:13" ht="19.5" customHeight="1">
      <c r="A108" s="334"/>
      <c r="B108" s="469" t="s">
        <v>830</v>
      </c>
      <c r="C108" s="366"/>
      <c r="D108" s="367"/>
      <c r="E108" s="322" t="s">
        <v>799</v>
      </c>
      <c r="F108" s="368" t="s">
        <v>802</v>
      </c>
      <c r="G108" s="1289">
        <v>1</v>
      </c>
      <c r="H108" s="1290"/>
      <c r="I108" s="1291"/>
      <c r="J108" s="323">
        <v>2340</v>
      </c>
      <c r="K108" s="323">
        <v>2340</v>
      </c>
      <c r="L108" s="323"/>
      <c r="M108" s="323"/>
    </row>
    <row r="109" spans="1:13" ht="15.75" customHeight="1">
      <c r="A109" s="334" t="s">
        <v>938</v>
      </c>
      <c r="B109" s="473" t="s">
        <v>941</v>
      </c>
      <c r="C109" s="279"/>
      <c r="D109" s="280"/>
      <c r="E109" s="281"/>
      <c r="F109" s="282"/>
      <c r="G109" s="1224">
        <v>150</v>
      </c>
      <c r="H109" s="1225"/>
      <c r="I109" s="1226"/>
      <c r="J109" s="360">
        <f>J110+J111</f>
        <v>22234</v>
      </c>
      <c r="K109" s="360">
        <f>K110+K111</f>
        <v>22234</v>
      </c>
      <c r="L109" s="323"/>
      <c r="M109" s="323"/>
    </row>
    <row r="110" spans="1:13" ht="15" customHeight="1" hidden="1">
      <c r="A110" s="339"/>
      <c r="B110" s="469" t="s">
        <v>829</v>
      </c>
      <c r="C110" s="281"/>
      <c r="D110" s="340"/>
      <c r="E110" s="281" t="s">
        <v>838</v>
      </c>
      <c r="F110" s="352" t="s">
        <v>711</v>
      </c>
      <c r="G110" s="1258">
        <v>150</v>
      </c>
      <c r="H110" s="1259"/>
      <c r="I110" s="1248"/>
      <c r="J110" s="272">
        <v>21894</v>
      </c>
      <c r="K110" s="272">
        <v>21894</v>
      </c>
      <c r="L110" s="323"/>
      <c r="M110" s="323"/>
    </row>
    <row r="111" spans="1:13" ht="15" customHeight="1" hidden="1">
      <c r="A111" s="334"/>
      <c r="B111" s="469" t="s">
        <v>830</v>
      </c>
      <c r="C111" s="366"/>
      <c r="D111" s="367"/>
      <c r="E111" s="322" t="s">
        <v>799</v>
      </c>
      <c r="F111" s="368" t="s">
        <v>802</v>
      </c>
      <c r="G111" s="1289">
        <v>1</v>
      </c>
      <c r="H111" s="1290"/>
      <c r="I111" s="1291"/>
      <c r="J111" s="323">
        <v>340</v>
      </c>
      <c r="K111" s="323">
        <v>340</v>
      </c>
      <c r="L111" s="323"/>
      <c r="M111" s="323"/>
    </row>
    <row r="112" spans="1:13" ht="15" customHeight="1" hidden="1">
      <c r="A112" s="334" t="s">
        <v>940</v>
      </c>
      <c r="B112" s="473" t="s">
        <v>939</v>
      </c>
      <c r="C112" s="279"/>
      <c r="D112" s="280"/>
      <c r="E112" s="281"/>
      <c r="F112" s="282"/>
      <c r="G112" s="1224">
        <v>91</v>
      </c>
      <c r="H112" s="1225"/>
      <c r="I112" s="1226"/>
      <c r="J112" s="360">
        <f>J113+J114</f>
        <v>35939.2</v>
      </c>
      <c r="K112" s="360">
        <f>K113+K114</f>
        <v>35939.2</v>
      </c>
      <c r="L112" s="323"/>
      <c r="M112" s="323"/>
    </row>
    <row r="113" spans="1:13" ht="16.5" customHeight="1" hidden="1">
      <c r="A113" s="339"/>
      <c r="B113" s="469" t="s">
        <v>829</v>
      </c>
      <c r="C113" s="281"/>
      <c r="D113" s="340"/>
      <c r="E113" s="281" t="s">
        <v>838</v>
      </c>
      <c r="F113" s="352" t="s">
        <v>711</v>
      </c>
      <c r="G113" s="1258">
        <v>91</v>
      </c>
      <c r="H113" s="1259"/>
      <c r="I113" s="1248"/>
      <c r="J113" s="272">
        <v>35389.2</v>
      </c>
      <c r="K113" s="272">
        <v>35389.2</v>
      </c>
      <c r="L113" s="323"/>
      <c r="M113" s="323"/>
    </row>
    <row r="114" spans="1:13" ht="15" customHeight="1" hidden="1">
      <c r="A114" s="334"/>
      <c r="B114" s="469" t="s">
        <v>830</v>
      </c>
      <c r="C114" s="366"/>
      <c r="D114" s="367"/>
      <c r="E114" s="322" t="s">
        <v>799</v>
      </c>
      <c r="F114" s="368" t="s">
        <v>802</v>
      </c>
      <c r="G114" s="1289">
        <v>1</v>
      </c>
      <c r="H114" s="1290"/>
      <c r="I114" s="1291"/>
      <c r="J114" s="323">
        <v>550</v>
      </c>
      <c r="K114" s="323">
        <v>550</v>
      </c>
      <c r="L114" s="323"/>
      <c r="M114" s="323"/>
    </row>
    <row r="115" spans="1:13" ht="12.75" hidden="1">
      <c r="A115" s="339"/>
      <c r="B115" s="80"/>
      <c r="C115" s="366"/>
      <c r="D115" s="367"/>
      <c r="E115" s="322"/>
      <c r="F115" s="368"/>
      <c r="G115" s="390"/>
      <c r="H115" s="391"/>
      <c r="I115" s="392"/>
      <c r="J115" s="323"/>
      <c r="K115" s="323"/>
      <c r="L115" s="323"/>
      <c r="M115" s="323"/>
    </row>
    <row r="116" spans="1:13" ht="12.75" hidden="1">
      <c r="A116" s="339"/>
      <c r="B116" s="470"/>
      <c r="C116" s="366"/>
      <c r="D116" s="367"/>
      <c r="E116" s="322"/>
      <c r="F116" s="368"/>
      <c r="G116" s="390"/>
      <c r="H116" s="391"/>
      <c r="I116" s="392"/>
      <c r="J116" s="323"/>
      <c r="K116" s="323"/>
      <c r="L116" s="323"/>
      <c r="M116" s="323"/>
    </row>
    <row r="117" spans="1:13" ht="12.75" hidden="1">
      <c r="A117" s="339"/>
      <c r="B117" s="470"/>
      <c r="C117" s="366"/>
      <c r="D117" s="367"/>
      <c r="E117" s="322"/>
      <c r="F117" s="368"/>
      <c r="G117" s="390"/>
      <c r="H117" s="391"/>
      <c r="I117" s="392"/>
      <c r="J117" s="323"/>
      <c r="K117" s="323"/>
      <c r="L117" s="323"/>
      <c r="M117" s="323"/>
    </row>
    <row r="118" spans="1:13" ht="12.75" hidden="1">
      <c r="A118" s="339"/>
      <c r="B118" s="470"/>
      <c r="C118" s="366"/>
      <c r="D118" s="367"/>
      <c r="E118" s="322"/>
      <c r="F118" s="368"/>
      <c r="G118" s="390"/>
      <c r="H118" s="391"/>
      <c r="I118" s="392"/>
      <c r="J118" s="323"/>
      <c r="K118" s="323"/>
      <c r="L118" s="323"/>
      <c r="M118" s="323"/>
    </row>
    <row r="119" spans="1:13" ht="19.5" customHeight="1">
      <c r="A119" s="485">
        <v>2</v>
      </c>
      <c r="B119" s="486" t="s">
        <v>882</v>
      </c>
      <c r="C119" s="254">
        <v>170703</v>
      </c>
      <c r="D119" s="254">
        <v>3132</v>
      </c>
      <c r="E119" s="277"/>
      <c r="F119" s="277"/>
      <c r="G119" s="1309"/>
      <c r="H119" s="1310"/>
      <c r="I119" s="1311"/>
      <c r="J119" s="234">
        <f>J120+J123+J126+J129+J132+J134</f>
        <v>1569192.3800000001</v>
      </c>
      <c r="K119" s="234">
        <f>K120+K123+K126+K129+K132+K134</f>
        <v>1569192.3800000001</v>
      </c>
      <c r="L119" s="256"/>
      <c r="M119" s="365"/>
    </row>
    <row r="120" spans="1:13" ht="17.25" customHeight="1">
      <c r="A120" s="371" t="s">
        <v>883</v>
      </c>
      <c r="B120" s="487" t="s">
        <v>893</v>
      </c>
      <c r="C120" s="364"/>
      <c r="D120" s="254"/>
      <c r="E120" s="277"/>
      <c r="F120" s="277"/>
      <c r="G120" s="1309"/>
      <c r="H120" s="1310"/>
      <c r="I120" s="1311"/>
      <c r="J120" s="234">
        <f>J121+J122</f>
        <v>315233.96</v>
      </c>
      <c r="K120" s="234">
        <f>K121+K122</f>
        <v>315233.96</v>
      </c>
      <c r="L120" s="256"/>
      <c r="M120" s="365"/>
    </row>
    <row r="121" spans="1:13" ht="18" customHeight="1">
      <c r="A121" s="506"/>
      <c r="B121" s="459" t="s">
        <v>892</v>
      </c>
      <c r="C121" s="364"/>
      <c r="D121" s="254"/>
      <c r="E121" s="281" t="s">
        <v>838</v>
      </c>
      <c r="F121" s="277"/>
      <c r="G121" s="1309">
        <v>1</v>
      </c>
      <c r="H121" s="1310"/>
      <c r="I121" s="1311"/>
      <c r="J121" s="272">
        <v>5940</v>
      </c>
      <c r="K121" s="272">
        <v>5940</v>
      </c>
      <c r="L121" s="272"/>
      <c r="M121" s="338"/>
    </row>
    <row r="122" spans="1:13" ht="13.5" customHeight="1">
      <c r="A122" s="507"/>
      <c r="B122" s="469" t="s">
        <v>829</v>
      </c>
      <c r="C122" s="364"/>
      <c r="D122" s="254"/>
      <c r="E122" s="281" t="s">
        <v>838</v>
      </c>
      <c r="F122" s="277"/>
      <c r="G122" s="1307" t="s">
        <v>765</v>
      </c>
      <c r="H122" s="1307"/>
      <c r="I122" s="1307"/>
      <c r="J122" s="272">
        <v>309293.96</v>
      </c>
      <c r="K122" s="272">
        <v>309293.96</v>
      </c>
      <c r="L122" s="272"/>
      <c r="M122" s="338"/>
    </row>
    <row r="123" spans="1:13" ht="15" customHeight="1">
      <c r="A123" s="371" t="s">
        <v>884</v>
      </c>
      <c r="B123" s="469" t="s">
        <v>894</v>
      </c>
      <c r="C123" s="364"/>
      <c r="D123" s="254"/>
      <c r="E123" s="277"/>
      <c r="F123" s="277"/>
      <c r="G123" s="1322"/>
      <c r="H123" s="1322"/>
      <c r="I123" s="1322"/>
      <c r="J123" s="360">
        <f>J124+J125</f>
        <v>290047.39</v>
      </c>
      <c r="K123" s="360">
        <f>K124+K125</f>
        <v>290047.39</v>
      </c>
      <c r="L123" s="272"/>
      <c r="M123" s="338"/>
    </row>
    <row r="124" spans="1:13" ht="15" customHeight="1">
      <c r="A124" s="506"/>
      <c r="B124" s="459" t="s">
        <v>892</v>
      </c>
      <c r="C124" s="364"/>
      <c r="D124" s="254"/>
      <c r="E124" s="281" t="s">
        <v>838</v>
      </c>
      <c r="F124" s="277"/>
      <c r="G124" s="1322"/>
      <c r="H124" s="1322"/>
      <c r="I124" s="1322"/>
      <c r="J124" s="272">
        <v>5848.8</v>
      </c>
      <c r="K124" s="272">
        <v>5848.8</v>
      </c>
      <c r="L124" s="272"/>
      <c r="M124" s="338"/>
    </row>
    <row r="125" spans="1:13" ht="13.5" customHeight="1">
      <c r="A125" s="507"/>
      <c r="B125" s="469" t="s">
        <v>829</v>
      </c>
      <c r="C125" s="364"/>
      <c r="D125" s="254"/>
      <c r="E125" s="281" t="s">
        <v>838</v>
      </c>
      <c r="F125" s="277"/>
      <c r="G125" s="1307" t="s">
        <v>765</v>
      </c>
      <c r="H125" s="1307"/>
      <c r="I125" s="1307"/>
      <c r="J125" s="272">
        <v>284198.59</v>
      </c>
      <c r="K125" s="272">
        <v>284198.59</v>
      </c>
      <c r="L125" s="272"/>
      <c r="M125" s="338"/>
    </row>
    <row r="126" spans="1:13" ht="24.75" customHeight="1">
      <c r="A126" s="337" t="s">
        <v>885</v>
      </c>
      <c r="B126" s="487" t="s">
        <v>953</v>
      </c>
      <c r="C126" s="385"/>
      <c r="D126" s="280"/>
      <c r="E126" s="281"/>
      <c r="F126" s="281"/>
      <c r="G126" s="1323"/>
      <c r="H126" s="1324"/>
      <c r="I126" s="1325"/>
      <c r="J126" s="360">
        <f>J127+J128</f>
        <v>686322.29</v>
      </c>
      <c r="K126" s="360">
        <f>K127+K128</f>
        <v>686322.29</v>
      </c>
      <c r="L126" s="272"/>
      <c r="M126" s="338"/>
    </row>
    <row r="127" spans="1:13" ht="16.5" customHeight="1">
      <c r="A127" s="333"/>
      <c r="B127" s="487" t="s">
        <v>892</v>
      </c>
      <c r="C127" s="385"/>
      <c r="D127" s="280"/>
      <c r="E127" s="281" t="s">
        <v>838</v>
      </c>
      <c r="F127" s="281"/>
      <c r="G127" s="1319">
        <v>1</v>
      </c>
      <c r="H127" s="1320"/>
      <c r="I127" s="1321"/>
      <c r="J127" s="272">
        <v>5996.4</v>
      </c>
      <c r="K127" s="272">
        <v>5996.4</v>
      </c>
      <c r="L127" s="272"/>
      <c r="M127" s="338"/>
    </row>
    <row r="128" spans="1:13" ht="13.5" customHeight="1">
      <c r="A128" s="334"/>
      <c r="B128" s="469" t="s">
        <v>829</v>
      </c>
      <c r="C128" s="385"/>
      <c r="D128" s="280"/>
      <c r="E128" s="281" t="s">
        <v>838</v>
      </c>
      <c r="F128" s="281"/>
      <c r="G128" s="1307" t="s">
        <v>765</v>
      </c>
      <c r="H128" s="1307"/>
      <c r="I128" s="1307"/>
      <c r="J128" s="272">
        <v>680325.89</v>
      </c>
      <c r="K128" s="272">
        <v>680325.89</v>
      </c>
      <c r="L128" s="272"/>
      <c r="M128" s="338"/>
    </row>
    <row r="129" spans="1:13" ht="17.25" customHeight="1">
      <c r="A129" s="337" t="s">
        <v>886</v>
      </c>
      <c r="B129" s="487" t="s">
        <v>919</v>
      </c>
      <c r="C129" s="385"/>
      <c r="D129" s="280"/>
      <c r="E129" s="281"/>
      <c r="F129" s="281"/>
      <c r="G129" s="1319"/>
      <c r="H129" s="1320"/>
      <c r="I129" s="1321"/>
      <c r="J129" s="360">
        <f>J130+J131</f>
        <v>265666.74</v>
      </c>
      <c r="K129" s="360">
        <f>K130+K131</f>
        <v>265666.74</v>
      </c>
      <c r="L129" s="272"/>
      <c r="M129" s="338"/>
    </row>
    <row r="130" spans="1:13" ht="15" customHeight="1">
      <c r="A130" s="333"/>
      <c r="B130" s="487" t="s">
        <v>892</v>
      </c>
      <c r="C130" s="385"/>
      <c r="D130" s="280"/>
      <c r="E130" s="281" t="s">
        <v>838</v>
      </c>
      <c r="F130" s="281"/>
      <c r="G130" s="1319">
        <v>1</v>
      </c>
      <c r="H130" s="1320"/>
      <c r="I130" s="1321"/>
      <c r="J130" s="272">
        <v>5288.4</v>
      </c>
      <c r="K130" s="272">
        <v>5288.4</v>
      </c>
      <c r="L130" s="272"/>
      <c r="M130" s="338"/>
    </row>
    <row r="131" spans="1:13" ht="15" customHeight="1">
      <c r="A131" s="339"/>
      <c r="B131" s="469" t="s">
        <v>829</v>
      </c>
      <c r="C131" s="385"/>
      <c r="D131" s="280"/>
      <c r="E131" s="281" t="s">
        <v>838</v>
      </c>
      <c r="F131" s="281"/>
      <c r="G131" s="1307" t="s">
        <v>765</v>
      </c>
      <c r="H131" s="1307"/>
      <c r="I131" s="1307"/>
      <c r="J131" s="272">
        <v>260378.34</v>
      </c>
      <c r="K131" s="272">
        <v>260378.34</v>
      </c>
      <c r="L131" s="272"/>
      <c r="M131" s="338"/>
    </row>
    <row r="132" spans="1:13" ht="14.25" customHeight="1">
      <c r="A132" s="337" t="s">
        <v>887</v>
      </c>
      <c r="B132" s="487" t="s">
        <v>920</v>
      </c>
      <c r="C132" s="385"/>
      <c r="D132" s="280"/>
      <c r="E132" s="281"/>
      <c r="F132" s="281"/>
      <c r="G132" s="1239"/>
      <c r="H132" s="1240"/>
      <c r="I132" s="1298"/>
      <c r="J132" s="360">
        <f>J133</f>
        <v>5923.2</v>
      </c>
      <c r="K132" s="360">
        <f>K133</f>
        <v>5923.2</v>
      </c>
      <c r="L132" s="272"/>
      <c r="M132" s="338"/>
    </row>
    <row r="133" spans="1:13" ht="14.25" customHeight="1">
      <c r="A133" s="333"/>
      <c r="B133" s="487" t="s">
        <v>892</v>
      </c>
      <c r="C133" s="385"/>
      <c r="D133" s="280"/>
      <c r="E133" s="281" t="s">
        <v>838</v>
      </c>
      <c r="F133" s="281" t="s">
        <v>713</v>
      </c>
      <c r="G133" s="1239">
        <v>1</v>
      </c>
      <c r="H133" s="1240"/>
      <c r="I133" s="1298"/>
      <c r="J133" s="272">
        <v>5923.2</v>
      </c>
      <c r="K133" s="272">
        <v>5923.2</v>
      </c>
      <c r="L133" s="272"/>
      <c r="M133" s="338"/>
    </row>
    <row r="134" spans="1:13" ht="14.25" customHeight="1">
      <c r="A134" s="337" t="s">
        <v>888</v>
      </c>
      <c r="B134" s="487" t="s">
        <v>921</v>
      </c>
      <c r="C134" s="385"/>
      <c r="D134" s="280"/>
      <c r="E134" s="281"/>
      <c r="F134" s="281"/>
      <c r="G134" s="1239"/>
      <c r="H134" s="1240"/>
      <c r="I134" s="1298"/>
      <c r="J134" s="360">
        <f>J135+J136</f>
        <v>5998.8</v>
      </c>
      <c r="K134" s="360">
        <v>5998.8</v>
      </c>
      <c r="L134" s="272"/>
      <c r="M134" s="338"/>
    </row>
    <row r="135" spans="1:13" ht="14.25" customHeight="1">
      <c r="A135" s="333"/>
      <c r="B135" s="487" t="s">
        <v>892</v>
      </c>
      <c r="C135" s="385"/>
      <c r="D135" s="280"/>
      <c r="E135" s="281" t="s">
        <v>838</v>
      </c>
      <c r="F135" s="281" t="s">
        <v>713</v>
      </c>
      <c r="G135" s="1239">
        <v>1</v>
      </c>
      <c r="H135" s="1240"/>
      <c r="I135" s="1298"/>
      <c r="J135" s="272">
        <v>5998.8</v>
      </c>
      <c r="K135" s="272">
        <v>5288.4</v>
      </c>
      <c r="L135" s="272"/>
      <c r="M135" s="338"/>
    </row>
    <row r="136" spans="1:13" ht="14.25" customHeight="1">
      <c r="A136" s="562"/>
      <c r="L136" s="563"/>
      <c r="M136" s="564"/>
    </row>
    <row r="137" spans="1:13" ht="14.25" customHeight="1">
      <c r="A137" s="562"/>
      <c r="L137" s="563"/>
      <c r="M137" s="564"/>
    </row>
    <row r="138" spans="1:13" ht="12.75">
      <c r="A138" s="261"/>
      <c r="B138" s="262"/>
      <c r="C138" s="263"/>
      <c r="D138" s="263"/>
      <c r="E138" s="264"/>
      <c r="F138" s="264"/>
      <c r="G138" s="170"/>
      <c r="H138" s="170"/>
      <c r="I138" s="170"/>
      <c r="J138" s="10"/>
      <c r="K138" s="10"/>
      <c r="L138" s="10"/>
      <c r="M138" s="265"/>
    </row>
    <row r="139" spans="1:13" ht="20.25" customHeight="1">
      <c r="A139" s="1318" t="s">
        <v>804</v>
      </c>
      <c r="B139" s="1318"/>
      <c r="C139" s="1318"/>
      <c r="D139" s="1318"/>
      <c r="E139" s="1318"/>
      <c r="G139" s="293"/>
      <c r="H139" s="344"/>
      <c r="I139" s="344"/>
      <c r="J139" s="344"/>
      <c r="K139" s="345" t="s">
        <v>748</v>
      </c>
      <c r="L139" s="345"/>
      <c r="M139" s="345"/>
    </row>
    <row r="140" spans="1:13" ht="18.75" customHeight="1">
      <c r="A140" s="268" t="s">
        <v>803</v>
      </c>
      <c r="B140" s="269"/>
      <c r="C140" s="269"/>
      <c r="D140" s="270"/>
      <c r="E140" s="266"/>
      <c r="F140" s="267"/>
      <c r="G140" s="1326"/>
      <c r="H140" s="1326"/>
      <c r="I140" s="271"/>
      <c r="J140" s="183"/>
      <c r="K140" s="183"/>
      <c r="L140" s="183"/>
      <c r="M140" s="183"/>
    </row>
  </sheetData>
  <sheetProtection/>
  <mergeCells count="109">
    <mergeCell ref="G140:H140"/>
    <mergeCell ref="G132:I132"/>
    <mergeCell ref="G133:I133"/>
    <mergeCell ref="G134:I134"/>
    <mergeCell ref="G135:I135"/>
    <mergeCell ref="G110:I110"/>
    <mergeCell ref="G111:I111"/>
    <mergeCell ref="G112:I112"/>
    <mergeCell ref="G128:I128"/>
    <mergeCell ref="G124:I124"/>
    <mergeCell ref="G125:I125"/>
    <mergeCell ref="G126:I126"/>
    <mergeCell ref="G127:I127"/>
    <mergeCell ref="G103:I103"/>
    <mergeCell ref="G104:I104"/>
    <mergeCell ref="G105:I105"/>
    <mergeCell ref="A139:E139"/>
    <mergeCell ref="G129:I129"/>
    <mergeCell ref="G130:I130"/>
    <mergeCell ref="G131:I131"/>
    <mergeCell ref="G123:I123"/>
    <mergeCell ref="G108:I108"/>
    <mergeCell ref="G109:I109"/>
    <mergeCell ref="G113:I113"/>
    <mergeCell ref="G114:I114"/>
    <mergeCell ref="G119:I119"/>
    <mergeCell ref="G120:I120"/>
    <mergeCell ref="G122:I122"/>
    <mergeCell ref="G121:I121"/>
    <mergeCell ref="G95:I95"/>
    <mergeCell ref="G106:I106"/>
    <mergeCell ref="G107:I107"/>
    <mergeCell ref="G96:I96"/>
    <mergeCell ref="G97:I97"/>
    <mergeCell ref="G98:I98"/>
    <mergeCell ref="G99:I99"/>
    <mergeCell ref="G100:I100"/>
    <mergeCell ref="G101:I101"/>
    <mergeCell ref="G102:I102"/>
    <mergeCell ref="G91:I91"/>
    <mergeCell ref="G92:I92"/>
    <mergeCell ref="G93:I93"/>
    <mergeCell ref="G94:I94"/>
    <mergeCell ref="G90:I90"/>
    <mergeCell ref="G71:I71"/>
    <mergeCell ref="G72:I72"/>
    <mergeCell ref="G85:I85"/>
    <mergeCell ref="G77:I77"/>
    <mergeCell ref="G78:I78"/>
    <mergeCell ref="G79:I79"/>
    <mergeCell ref="G74:I74"/>
    <mergeCell ref="G75:I75"/>
    <mergeCell ref="G76:I76"/>
    <mergeCell ref="G86:I86"/>
    <mergeCell ref="G81:I81"/>
    <mergeCell ref="G84:I84"/>
    <mergeCell ref="G67:I67"/>
    <mergeCell ref="G80:I80"/>
    <mergeCell ref="G66:I66"/>
    <mergeCell ref="G73:I73"/>
    <mergeCell ref="G69:I69"/>
    <mergeCell ref="G70:I70"/>
    <mergeCell ref="G68:I68"/>
    <mergeCell ref="G64:I64"/>
    <mergeCell ref="G65:I65"/>
    <mergeCell ref="G46:I46"/>
    <mergeCell ref="G49:I49"/>
    <mergeCell ref="G52:I52"/>
    <mergeCell ref="G63:I63"/>
    <mergeCell ref="G55:I55"/>
    <mergeCell ref="G58:I58"/>
    <mergeCell ref="G59:I59"/>
    <mergeCell ref="G43:I43"/>
    <mergeCell ref="G31:I31"/>
    <mergeCell ref="G34:I34"/>
    <mergeCell ref="G20:I20"/>
    <mergeCell ref="G21:I21"/>
    <mergeCell ref="G37:I37"/>
    <mergeCell ref="G40:I40"/>
    <mergeCell ref="G22:I22"/>
    <mergeCell ref="G23:I23"/>
    <mergeCell ref="G24:I24"/>
    <mergeCell ref="G13:I13"/>
    <mergeCell ref="G15:I15"/>
    <mergeCell ref="G16:I16"/>
    <mergeCell ref="G14:H14"/>
    <mergeCell ref="G25:I25"/>
    <mergeCell ref="G26:I26"/>
    <mergeCell ref="G27:I27"/>
    <mergeCell ref="G18:I18"/>
    <mergeCell ref="G19:I19"/>
    <mergeCell ref="G11:I11"/>
    <mergeCell ref="G17:I17"/>
    <mergeCell ref="B6:B7"/>
    <mergeCell ref="C6:C7"/>
    <mergeCell ref="F6:F7"/>
    <mergeCell ref="G9:I9"/>
    <mergeCell ref="G10:I10"/>
    <mergeCell ref="G8:I8"/>
    <mergeCell ref="D6:D7"/>
    <mergeCell ref="E6:E7"/>
    <mergeCell ref="A5:M5"/>
    <mergeCell ref="A6:A7"/>
    <mergeCell ref="G6:M6"/>
    <mergeCell ref="G7:I7"/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38.875" style="0" customWidth="1"/>
    <col min="3" max="3" width="8.75390625" style="0" customWidth="1"/>
    <col min="4" max="4" width="6.25390625" style="0" customWidth="1"/>
    <col min="5" max="5" width="22.00390625" style="0" customWidth="1"/>
    <col min="6" max="6" width="11.25390625" style="0" customWidth="1"/>
    <col min="7" max="7" width="9.625" style="0" customWidth="1"/>
    <col min="8" max="8" width="0.12890625" style="0" hidden="1" customWidth="1"/>
    <col min="9" max="9" width="7.125" style="0" customWidth="1"/>
    <col min="10" max="10" width="14.00390625" style="0" customWidth="1"/>
    <col min="11" max="11" width="14.375" style="0" customWidth="1"/>
    <col min="12" max="13" width="12.625" style="0" customWidth="1"/>
    <col min="14" max="14" width="12.875" style="0" customWidth="1"/>
  </cols>
  <sheetData>
    <row r="1" spans="1:13" ht="18">
      <c r="A1" s="1270" t="s">
        <v>734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</row>
    <row r="2" spans="1:13" ht="15.75">
      <c r="A2" s="1271" t="s">
        <v>735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3" ht="15.75">
      <c r="A3" s="1271" t="s">
        <v>736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13" ht="15.75">
      <c r="A4" s="1271" t="s">
        <v>32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3" ht="12.75">
      <c r="A5" s="1272"/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</row>
    <row r="6" spans="1:13" ht="12.75">
      <c r="A6" s="1380" t="s">
        <v>715</v>
      </c>
      <c r="B6" s="1273" t="s">
        <v>707</v>
      </c>
      <c r="C6" s="1273" t="s">
        <v>716</v>
      </c>
      <c r="D6" s="1273" t="s">
        <v>712</v>
      </c>
      <c r="E6" s="1273" t="s">
        <v>708</v>
      </c>
      <c r="F6" s="1273" t="s">
        <v>709</v>
      </c>
      <c r="G6" s="1275" t="s">
        <v>33</v>
      </c>
      <c r="H6" s="1276"/>
      <c r="I6" s="1276"/>
      <c r="J6" s="1276"/>
      <c r="K6" s="1276"/>
      <c r="L6" s="1276"/>
      <c r="M6" s="1277"/>
    </row>
    <row r="7" spans="1:13" ht="45.75" thickBot="1">
      <c r="A7" s="1381"/>
      <c r="B7" s="1274"/>
      <c r="C7" s="1274"/>
      <c r="D7" s="1274"/>
      <c r="E7" s="1274"/>
      <c r="F7" s="1274"/>
      <c r="G7" s="1268" t="s">
        <v>710</v>
      </c>
      <c r="H7" s="1269"/>
      <c r="I7" s="1266"/>
      <c r="J7" s="238" t="s">
        <v>808</v>
      </c>
      <c r="K7" s="239" t="s">
        <v>807</v>
      </c>
      <c r="L7" s="557" t="s">
        <v>806</v>
      </c>
      <c r="M7" s="558" t="s">
        <v>786</v>
      </c>
    </row>
    <row r="8" spans="1:14" ht="27" customHeight="1" thickBot="1">
      <c r="A8" s="240"/>
      <c r="B8" s="693" t="s">
        <v>44</v>
      </c>
      <c r="C8" s="694"/>
      <c r="D8" s="695"/>
      <c r="E8" s="695"/>
      <c r="F8" s="694"/>
      <c r="G8" s="1374"/>
      <c r="H8" s="1375"/>
      <c r="I8" s="1376"/>
      <c r="J8" s="696">
        <f>J9+J12+J24+J110+J116+J121</f>
        <v>8060052.8100000005</v>
      </c>
      <c r="K8" s="696">
        <f>K9+K12+K24+K110+K116+K121</f>
        <v>7849034.050000001</v>
      </c>
      <c r="L8" s="696">
        <f>L12+L121</f>
        <v>3759115.8299999996</v>
      </c>
      <c r="M8" s="697">
        <f>M26</f>
        <v>211018.76</v>
      </c>
      <c r="N8" s="59"/>
    </row>
    <row r="9" spans="1:13" ht="30" customHeight="1" thickBot="1">
      <c r="A9" s="292" t="s">
        <v>772</v>
      </c>
      <c r="B9" s="453" t="s">
        <v>43</v>
      </c>
      <c r="C9" s="245" t="s">
        <v>773</v>
      </c>
      <c r="D9" s="246" t="s">
        <v>774</v>
      </c>
      <c r="E9" s="247" t="s">
        <v>777</v>
      </c>
      <c r="F9" s="653" t="s">
        <v>853</v>
      </c>
      <c r="G9" s="1382">
        <v>49</v>
      </c>
      <c r="H9" s="1383"/>
      <c r="I9" s="1384"/>
      <c r="J9" s="655">
        <f>J10+J11</f>
        <v>35289.45</v>
      </c>
      <c r="K9" s="655">
        <f>K10+K11</f>
        <v>35289.45</v>
      </c>
      <c r="L9" s="655"/>
      <c r="M9" s="655"/>
    </row>
    <row r="10" spans="1:13" ht="21" customHeight="1">
      <c r="A10" s="618">
        <v>1</v>
      </c>
      <c r="B10" s="454" t="s">
        <v>850</v>
      </c>
      <c r="C10" s="250"/>
      <c r="D10" s="251">
        <v>2111</v>
      </c>
      <c r="E10" s="251"/>
      <c r="F10" s="228"/>
      <c r="G10" s="1252"/>
      <c r="H10" s="1253"/>
      <c r="I10" s="1254"/>
      <c r="J10" s="725">
        <v>28925.77</v>
      </c>
      <c r="K10" s="725">
        <v>28925.77</v>
      </c>
      <c r="L10" s="656"/>
      <c r="M10" s="656"/>
    </row>
    <row r="11" spans="1:13" ht="22.5" customHeight="1" thickBot="1">
      <c r="A11" s="619">
        <v>2</v>
      </c>
      <c r="B11" s="455" t="s">
        <v>851</v>
      </c>
      <c r="C11" s="252"/>
      <c r="D11" s="253">
        <v>2120</v>
      </c>
      <c r="E11" s="253"/>
      <c r="F11" s="231"/>
      <c r="G11" s="1267"/>
      <c r="H11" s="1264"/>
      <c r="I11" s="1265"/>
      <c r="J11" s="726">
        <v>6363.68</v>
      </c>
      <c r="K11" s="726">
        <v>6363.68</v>
      </c>
      <c r="L11" s="657"/>
      <c r="M11" s="657"/>
    </row>
    <row r="12" spans="1:13" ht="22.5" customHeight="1" thickBot="1">
      <c r="A12" s="292" t="s">
        <v>776</v>
      </c>
      <c r="B12" s="645" t="s">
        <v>24</v>
      </c>
      <c r="C12" s="439">
        <v>100101</v>
      </c>
      <c r="D12" s="442">
        <v>3132</v>
      </c>
      <c r="E12" s="320"/>
      <c r="F12" s="646"/>
      <c r="G12" s="646"/>
      <c r="H12" s="647"/>
      <c r="I12" s="648"/>
      <c r="J12" s="655">
        <f>J13</f>
        <v>239039.52000000002</v>
      </c>
      <c r="K12" s="655">
        <f>K13</f>
        <v>239039.52000000002</v>
      </c>
      <c r="L12" s="655">
        <f>L15+L19+L23</f>
        <v>239039.52000000002</v>
      </c>
      <c r="M12" s="655"/>
    </row>
    <row r="13" spans="1:13" ht="27.75" customHeight="1">
      <c r="A13" s="517"/>
      <c r="B13" s="526" t="s">
        <v>45</v>
      </c>
      <c r="C13" s="518">
        <v>100101</v>
      </c>
      <c r="D13" s="259">
        <v>3132</v>
      </c>
      <c r="E13" s="259"/>
      <c r="F13" s="527"/>
      <c r="G13" s="1377">
        <v>3</v>
      </c>
      <c r="H13" s="1378"/>
      <c r="I13" s="1379"/>
      <c r="J13" s="656">
        <f>J14+J18+J22</f>
        <v>239039.52000000002</v>
      </c>
      <c r="K13" s="656">
        <f>K14+K18+K22</f>
        <v>239039.52000000002</v>
      </c>
      <c r="L13" s="656"/>
      <c r="M13" s="656"/>
    </row>
    <row r="14" spans="1:13" ht="17.25" customHeight="1">
      <c r="A14" s="620">
        <v>1</v>
      </c>
      <c r="B14" s="525" t="s">
        <v>40</v>
      </c>
      <c r="C14" s="327"/>
      <c r="D14" s="326"/>
      <c r="E14" s="189"/>
      <c r="F14" s="528" t="s">
        <v>713</v>
      </c>
      <c r="G14" s="1371">
        <v>1</v>
      </c>
      <c r="H14" s="1372"/>
      <c r="I14" s="1373"/>
      <c r="J14" s="658">
        <f>J15+J16+J17</f>
        <v>82199.26</v>
      </c>
      <c r="K14" s="658">
        <f>K15+K16+K17</f>
        <v>82199.26</v>
      </c>
      <c r="L14" s="659"/>
      <c r="M14" s="659"/>
    </row>
    <row r="15" spans="1:13" ht="19.5" customHeight="1">
      <c r="A15" s="621"/>
      <c r="B15" s="469" t="s">
        <v>829</v>
      </c>
      <c r="C15" s="254"/>
      <c r="D15" s="277"/>
      <c r="E15" s="281" t="s">
        <v>10</v>
      </c>
      <c r="F15" s="282" t="s">
        <v>713</v>
      </c>
      <c r="G15" s="1368" t="s">
        <v>765</v>
      </c>
      <c r="H15" s="1369"/>
      <c r="I15" s="1370"/>
      <c r="J15" s="278">
        <v>82199.26</v>
      </c>
      <c r="K15" s="278">
        <v>82199.26</v>
      </c>
      <c r="L15" s="278">
        <v>82199.26</v>
      </c>
      <c r="M15" s="660"/>
    </row>
    <row r="16" spans="1:13" ht="17.25" customHeight="1">
      <c r="A16" s="621"/>
      <c r="B16" s="470" t="s">
        <v>830</v>
      </c>
      <c r="C16" s="327"/>
      <c r="D16" s="519"/>
      <c r="E16" s="281" t="s">
        <v>11</v>
      </c>
      <c r="F16" s="282" t="s">
        <v>802</v>
      </c>
      <c r="G16" s="1368">
        <v>1</v>
      </c>
      <c r="H16" s="1369"/>
      <c r="I16" s="1370"/>
      <c r="J16" s="661"/>
      <c r="K16" s="661"/>
      <c r="L16" s="659"/>
      <c r="M16" s="659"/>
    </row>
    <row r="17" spans="1:13" ht="22.5" customHeight="1">
      <c r="A17" s="622"/>
      <c r="B17" s="523" t="s">
        <v>9</v>
      </c>
      <c r="C17" s="254"/>
      <c r="D17" s="277"/>
      <c r="E17" s="281" t="s">
        <v>12</v>
      </c>
      <c r="F17" s="282" t="s">
        <v>802</v>
      </c>
      <c r="G17" s="1368">
        <v>1</v>
      </c>
      <c r="H17" s="1369"/>
      <c r="I17" s="1370"/>
      <c r="J17" s="278"/>
      <c r="K17" s="278"/>
      <c r="L17" s="660"/>
      <c r="M17" s="660"/>
    </row>
    <row r="18" spans="1:13" ht="21.75" customHeight="1">
      <c r="A18" s="622">
        <v>2</v>
      </c>
      <c r="B18" s="525" t="s">
        <v>41</v>
      </c>
      <c r="C18" s="254"/>
      <c r="D18" s="255"/>
      <c r="E18" s="255"/>
      <c r="F18" s="529" t="s">
        <v>713</v>
      </c>
      <c r="G18" s="1371">
        <v>1</v>
      </c>
      <c r="H18" s="1372"/>
      <c r="I18" s="1373"/>
      <c r="J18" s="662">
        <f>J19+J20+J21</f>
        <v>84493.18</v>
      </c>
      <c r="K18" s="662">
        <v>84493.18</v>
      </c>
      <c r="L18" s="660"/>
      <c r="M18" s="659"/>
    </row>
    <row r="19" spans="1:13" ht="23.25" customHeight="1">
      <c r="A19" s="621"/>
      <c r="B19" s="469" t="s">
        <v>829</v>
      </c>
      <c r="C19" s="327"/>
      <c r="D19" s="519"/>
      <c r="E19" s="281" t="s">
        <v>10</v>
      </c>
      <c r="F19" s="520" t="s">
        <v>713</v>
      </c>
      <c r="G19" s="1368" t="s">
        <v>765</v>
      </c>
      <c r="H19" s="1369"/>
      <c r="I19" s="1370"/>
      <c r="J19" s="661">
        <v>84493.18</v>
      </c>
      <c r="K19" s="661">
        <v>84493.18</v>
      </c>
      <c r="L19" s="661">
        <v>84493.18</v>
      </c>
      <c r="M19" s="663"/>
    </row>
    <row r="20" spans="1:13" ht="22.5" customHeight="1">
      <c r="A20" s="621"/>
      <c r="B20" s="469" t="s">
        <v>830</v>
      </c>
      <c r="C20" s="254"/>
      <c r="D20" s="277"/>
      <c r="E20" s="281" t="s">
        <v>11</v>
      </c>
      <c r="F20" s="282" t="s">
        <v>802</v>
      </c>
      <c r="G20" s="1368">
        <v>1</v>
      </c>
      <c r="H20" s="1369"/>
      <c r="I20" s="1370"/>
      <c r="J20" s="278"/>
      <c r="K20" s="278"/>
      <c r="L20" s="660"/>
      <c r="M20" s="660"/>
    </row>
    <row r="21" spans="1:13" ht="20.25" customHeight="1">
      <c r="A21" s="622"/>
      <c r="B21" s="522" t="s">
        <v>9</v>
      </c>
      <c r="C21" s="327"/>
      <c r="D21" s="519"/>
      <c r="E21" s="281" t="s">
        <v>93</v>
      </c>
      <c r="F21" s="282" t="s">
        <v>802</v>
      </c>
      <c r="G21" s="1368">
        <v>1</v>
      </c>
      <c r="H21" s="1369"/>
      <c r="I21" s="1370"/>
      <c r="J21" s="661"/>
      <c r="K21" s="661"/>
      <c r="L21" s="659"/>
      <c r="M21" s="659"/>
    </row>
    <row r="22" spans="1:13" ht="33" customHeight="1">
      <c r="A22" s="622">
        <v>3</v>
      </c>
      <c r="B22" s="588" t="s">
        <v>42</v>
      </c>
      <c r="C22" s="254"/>
      <c r="D22" s="277"/>
      <c r="E22" s="277"/>
      <c r="F22" s="529" t="s">
        <v>713</v>
      </c>
      <c r="G22" s="1371">
        <v>1</v>
      </c>
      <c r="H22" s="1372"/>
      <c r="I22" s="1373"/>
      <c r="J22" s="662">
        <f>J23</f>
        <v>72347.08</v>
      </c>
      <c r="K22" s="662">
        <f>K23</f>
        <v>72347.08</v>
      </c>
      <c r="L22" s="660"/>
      <c r="M22" s="660"/>
    </row>
    <row r="23" spans="1:13" ht="22.5" customHeight="1" thickBot="1">
      <c r="A23" s="623"/>
      <c r="B23" s="469" t="s">
        <v>829</v>
      </c>
      <c r="C23" s="514"/>
      <c r="D23" s="515"/>
      <c r="E23" s="281" t="s">
        <v>10</v>
      </c>
      <c r="F23" s="282" t="s">
        <v>713</v>
      </c>
      <c r="G23" s="1368" t="s">
        <v>765</v>
      </c>
      <c r="H23" s="1369"/>
      <c r="I23" s="1370"/>
      <c r="J23" s="664">
        <v>72347.08</v>
      </c>
      <c r="K23" s="664">
        <v>72347.08</v>
      </c>
      <c r="L23" s="664">
        <v>72347.08</v>
      </c>
      <c r="M23" s="657"/>
    </row>
    <row r="24" spans="1:13" ht="32.25" customHeight="1" thickBot="1">
      <c r="A24" s="292" t="s">
        <v>784</v>
      </c>
      <c r="B24" s="489" t="s">
        <v>46</v>
      </c>
      <c r="C24" s="244">
        <v>100203</v>
      </c>
      <c r="D24" s="386">
        <v>2000</v>
      </c>
      <c r="E24" s="490"/>
      <c r="F24" s="491"/>
      <c r="G24" s="389"/>
      <c r="H24" s="492"/>
      <c r="I24" s="492"/>
      <c r="J24" s="665">
        <f>J25+J27+J28+J31++J34+J37+J42+J79+J97+J104</f>
        <v>1763855.35</v>
      </c>
      <c r="K24" s="665">
        <f>K25+K27+K28+K31+K34+K37+K42+K79+K97+K104</f>
        <v>1552836.5899999999</v>
      </c>
      <c r="L24" s="665"/>
      <c r="M24" s="665"/>
    </row>
    <row r="25" spans="1:13" ht="25.5" customHeight="1" thickBot="1">
      <c r="A25" s="718">
        <v>1</v>
      </c>
      <c r="B25" s="703" t="s">
        <v>73</v>
      </c>
      <c r="C25" s="327">
        <v>100203</v>
      </c>
      <c r="D25" s="326">
        <v>2210</v>
      </c>
      <c r="E25" s="661" t="s">
        <v>783</v>
      </c>
      <c r="F25" s="704" t="s">
        <v>812</v>
      </c>
      <c r="G25" s="1362">
        <v>6</v>
      </c>
      <c r="H25" s="1363"/>
      <c r="I25" s="1364"/>
      <c r="J25" s="659">
        <v>3000</v>
      </c>
      <c r="K25" s="659">
        <v>3000</v>
      </c>
      <c r="L25" s="659"/>
      <c r="M25" s="661"/>
    </row>
    <row r="26" spans="1:14" ht="25.5" customHeight="1" thickBot="1">
      <c r="A26" s="717"/>
      <c r="B26" s="707" t="s">
        <v>80</v>
      </c>
      <c r="C26" s="708"/>
      <c r="D26" s="709"/>
      <c r="E26" s="710"/>
      <c r="F26" s="711"/>
      <c r="G26" s="712"/>
      <c r="H26" s="713"/>
      <c r="I26" s="714"/>
      <c r="J26" s="715">
        <f>J27+J28+J31+J34+J37+J42+J79+J97+J104</f>
        <v>1760855.35</v>
      </c>
      <c r="K26" s="715">
        <f>K27+K28+K31+K34+K37+K42+K79+K97+K104</f>
        <v>1549836.5899999999</v>
      </c>
      <c r="L26" s="715"/>
      <c r="M26" s="715">
        <f>M40+M102</f>
        <v>211018.76</v>
      </c>
      <c r="N26" s="3"/>
    </row>
    <row r="27" spans="1:13" ht="23.25" customHeight="1">
      <c r="A27" s="705">
        <v>2</v>
      </c>
      <c r="B27" s="456" t="s">
        <v>826</v>
      </c>
      <c r="C27" s="258">
        <v>100203</v>
      </c>
      <c r="D27" s="257">
        <v>2240</v>
      </c>
      <c r="E27" s="336" t="s">
        <v>824</v>
      </c>
      <c r="F27" s="309" t="s">
        <v>86</v>
      </c>
      <c r="G27" s="305">
        <v>85910</v>
      </c>
      <c r="H27" s="306"/>
      <c r="I27" s="706">
        <v>11.295</v>
      </c>
      <c r="J27" s="666">
        <v>19080.41</v>
      </c>
      <c r="K27" s="666">
        <v>19080.41</v>
      </c>
      <c r="L27" s="666"/>
      <c r="M27" s="336"/>
    </row>
    <row r="28" spans="1:13" ht="57" customHeight="1">
      <c r="A28" s="719" t="s">
        <v>795</v>
      </c>
      <c r="B28" s="459" t="s">
        <v>25</v>
      </c>
      <c r="C28" s="255">
        <v>100203</v>
      </c>
      <c r="D28" s="254">
        <v>2240</v>
      </c>
      <c r="E28" s="458"/>
      <c r="F28" s="458"/>
      <c r="G28" s="1233">
        <f>G29+G30</f>
        <v>77765</v>
      </c>
      <c r="H28" s="1261"/>
      <c r="I28" s="1262"/>
      <c r="J28" s="667">
        <f>J29+J30</f>
        <v>79060.46</v>
      </c>
      <c r="K28" s="668">
        <f>K29+K30</f>
        <v>79060.46</v>
      </c>
      <c r="L28" s="660"/>
      <c r="M28" s="660"/>
    </row>
    <row r="29" spans="1:13" ht="27.75" customHeight="1">
      <c r="A29" s="370" t="s">
        <v>896</v>
      </c>
      <c r="B29" s="381" t="s">
        <v>904</v>
      </c>
      <c r="C29" s="281"/>
      <c r="D29" s="340"/>
      <c r="E29" s="325" t="s">
        <v>756</v>
      </c>
      <c r="F29" s="341" t="s">
        <v>711</v>
      </c>
      <c r="G29" s="1234">
        <f>38161+12577+12238</f>
        <v>62976</v>
      </c>
      <c r="H29" s="1235"/>
      <c r="I29" s="1236"/>
      <c r="J29" s="650">
        <f>46574.08+14916.83</f>
        <v>61490.91</v>
      </c>
      <c r="K29" s="650">
        <f>46574.08+14916.83</f>
        <v>61490.91</v>
      </c>
      <c r="L29" s="650"/>
      <c r="M29" s="317"/>
    </row>
    <row r="30" spans="1:13" ht="18.75" customHeight="1">
      <c r="A30" s="502" t="s">
        <v>898</v>
      </c>
      <c r="B30" s="382" t="s">
        <v>906</v>
      </c>
      <c r="C30" s="281"/>
      <c r="D30" s="340"/>
      <c r="E30" s="325" t="s">
        <v>756</v>
      </c>
      <c r="F30" s="341" t="s">
        <v>711</v>
      </c>
      <c r="G30" s="1365">
        <f>14789</f>
        <v>14789</v>
      </c>
      <c r="H30" s="1366"/>
      <c r="I30" s="1367"/>
      <c r="J30" s="641">
        <f>17569.55</f>
        <v>17569.55</v>
      </c>
      <c r="K30" s="641">
        <f>17569.55</f>
        <v>17569.55</v>
      </c>
      <c r="L30" s="669"/>
      <c r="M30" s="317"/>
    </row>
    <row r="31" spans="1:13" ht="31.5" customHeight="1">
      <c r="A31" s="720" t="s">
        <v>796</v>
      </c>
      <c r="B31" s="459" t="s">
        <v>916</v>
      </c>
      <c r="C31" s="255">
        <v>100203</v>
      </c>
      <c r="D31" s="254">
        <v>2240</v>
      </c>
      <c r="E31" s="458"/>
      <c r="F31" s="458"/>
      <c r="G31" s="1260">
        <f>G32+G33</f>
        <v>1007</v>
      </c>
      <c r="H31" s="1261"/>
      <c r="I31" s="1262"/>
      <c r="J31" s="667">
        <f>J32+J33</f>
        <v>105648.81</v>
      </c>
      <c r="K31" s="668">
        <f>K32+K33</f>
        <v>105648.81</v>
      </c>
      <c r="L31" s="660"/>
      <c r="M31" s="660"/>
    </row>
    <row r="32" spans="1:13" ht="18.75" customHeight="1">
      <c r="A32" s="716" t="s">
        <v>899</v>
      </c>
      <c r="B32" s="381" t="s">
        <v>904</v>
      </c>
      <c r="C32" s="461"/>
      <c r="D32" s="461"/>
      <c r="E32" s="281" t="s">
        <v>756</v>
      </c>
      <c r="F32" s="282" t="s">
        <v>758</v>
      </c>
      <c r="G32" s="1243">
        <f>230+150</f>
        <v>380</v>
      </c>
      <c r="H32" s="1243"/>
      <c r="I32" s="1243"/>
      <c r="J32" s="317">
        <f>28801.24+20161.12</f>
        <v>48962.36</v>
      </c>
      <c r="K32" s="317">
        <f>28801.24+20161.12</f>
        <v>48962.36</v>
      </c>
      <c r="L32" s="670"/>
      <c r="M32" s="670"/>
    </row>
    <row r="33" spans="1:13" ht="17.25" customHeight="1">
      <c r="A33" s="716" t="s">
        <v>900</v>
      </c>
      <c r="B33" s="382" t="s">
        <v>906</v>
      </c>
      <c r="C33" s="461"/>
      <c r="D33" s="461"/>
      <c r="E33" s="325" t="s">
        <v>756</v>
      </c>
      <c r="F33" s="282" t="s">
        <v>758</v>
      </c>
      <c r="G33" s="1244">
        <f>290+337</f>
        <v>627</v>
      </c>
      <c r="H33" s="1245"/>
      <c r="I33" s="1246"/>
      <c r="J33" s="611">
        <f>26283.41+30403.04</f>
        <v>56686.45</v>
      </c>
      <c r="K33" s="611">
        <f>26283.41+30403.04</f>
        <v>56686.45</v>
      </c>
      <c r="L33" s="670"/>
      <c r="M33" s="670"/>
    </row>
    <row r="34" spans="1:13" ht="42" customHeight="1">
      <c r="A34" s="719" t="s">
        <v>797</v>
      </c>
      <c r="B34" s="462" t="s">
        <v>48</v>
      </c>
      <c r="C34" s="255">
        <v>100203</v>
      </c>
      <c r="D34" s="254">
        <v>2240</v>
      </c>
      <c r="E34" s="458"/>
      <c r="F34" s="458"/>
      <c r="G34" s="1260">
        <f>G35+G36</f>
        <v>1031</v>
      </c>
      <c r="H34" s="1261"/>
      <c r="I34" s="1262"/>
      <c r="J34" s="667">
        <f>J35+J36</f>
        <v>62873.56</v>
      </c>
      <c r="K34" s="668">
        <f>K35+K36</f>
        <v>62873.56</v>
      </c>
      <c r="L34" s="662"/>
      <c r="M34" s="671"/>
    </row>
    <row r="35" spans="1:13" ht="23.25" customHeight="1">
      <c r="A35" s="504" t="s">
        <v>897</v>
      </c>
      <c r="B35" s="381" t="s">
        <v>904</v>
      </c>
      <c r="C35" s="281"/>
      <c r="D35" s="340"/>
      <c r="E35" s="281" t="s">
        <v>756</v>
      </c>
      <c r="F35" s="282" t="s">
        <v>758</v>
      </c>
      <c r="G35" s="1243">
        <f>430+221</f>
        <v>651</v>
      </c>
      <c r="H35" s="1243"/>
      <c r="I35" s="1243"/>
      <c r="J35" s="317">
        <f>26986.08+13945.53</f>
        <v>40931.61</v>
      </c>
      <c r="K35" s="317">
        <f>26986.08+13945.53</f>
        <v>40931.61</v>
      </c>
      <c r="L35" s="317"/>
      <c r="M35" s="672"/>
    </row>
    <row r="36" spans="1:13" ht="20.25" customHeight="1">
      <c r="A36" s="370" t="s">
        <v>903</v>
      </c>
      <c r="B36" s="382" t="s">
        <v>906</v>
      </c>
      <c r="C36" s="281"/>
      <c r="D36" s="340"/>
      <c r="E36" s="281" t="s">
        <v>756</v>
      </c>
      <c r="F36" s="282" t="s">
        <v>758</v>
      </c>
      <c r="G36" s="1258">
        <f>183+197</f>
        <v>380</v>
      </c>
      <c r="H36" s="1259"/>
      <c r="I36" s="1248"/>
      <c r="J36" s="317">
        <f>9377.67+12564.28</f>
        <v>21941.95</v>
      </c>
      <c r="K36" s="317">
        <f>9377.67+12564.28</f>
        <v>21941.95</v>
      </c>
      <c r="L36" s="317"/>
      <c r="M36" s="672"/>
    </row>
    <row r="37" spans="1:13" ht="42" customHeight="1">
      <c r="A37" s="720" t="s">
        <v>798</v>
      </c>
      <c r="B37" s="463" t="s">
        <v>49</v>
      </c>
      <c r="C37" s="257">
        <v>100203</v>
      </c>
      <c r="D37" s="258">
        <v>2240</v>
      </c>
      <c r="E37" s="458"/>
      <c r="F37" s="458"/>
      <c r="G37" s="1239"/>
      <c r="H37" s="1240"/>
      <c r="I37" s="1240"/>
      <c r="J37" s="667">
        <f>J38+J41</f>
        <v>155661.11</v>
      </c>
      <c r="K37" s="673">
        <f>K38+K41</f>
        <v>141220.35</v>
      </c>
      <c r="L37" s="662"/>
      <c r="M37" s="671"/>
    </row>
    <row r="38" spans="1:13" ht="21.75" customHeight="1">
      <c r="A38" s="370" t="s">
        <v>901</v>
      </c>
      <c r="B38" s="559" t="s">
        <v>47</v>
      </c>
      <c r="C38" s="325"/>
      <c r="D38" s="447"/>
      <c r="E38" s="464"/>
      <c r="F38" s="461"/>
      <c r="G38" s="1361">
        <f>G39+G40</f>
        <v>153</v>
      </c>
      <c r="H38" s="1359"/>
      <c r="I38" s="1360"/>
      <c r="J38" s="674">
        <f>J39+J40</f>
        <v>96950.9</v>
      </c>
      <c r="K38" s="674">
        <f>K39+K40</f>
        <v>82510.14</v>
      </c>
      <c r="L38" s="662"/>
      <c r="M38" s="671"/>
    </row>
    <row r="39" spans="1:13" ht="20.25" customHeight="1">
      <c r="A39" s="319"/>
      <c r="B39" s="465" t="s">
        <v>904</v>
      </c>
      <c r="C39" s="281"/>
      <c r="D39" s="340"/>
      <c r="E39" s="290" t="s">
        <v>733</v>
      </c>
      <c r="F39" s="282" t="s">
        <v>713</v>
      </c>
      <c r="G39" s="1258">
        <f>24+99</f>
        <v>123</v>
      </c>
      <c r="H39" s="1259"/>
      <c r="I39" s="1248"/>
      <c r="J39" s="650">
        <f>22819.81+59690.33</f>
        <v>82510.14</v>
      </c>
      <c r="K39" s="650">
        <f>22819.81+59690.33</f>
        <v>82510.14</v>
      </c>
      <c r="L39" s="662"/>
      <c r="M39" s="671"/>
    </row>
    <row r="40" spans="1:13" ht="23.25" customHeight="1">
      <c r="A40" s="502"/>
      <c r="B40" s="466" t="s">
        <v>906</v>
      </c>
      <c r="C40" s="281"/>
      <c r="D40" s="340"/>
      <c r="E40" s="290" t="s">
        <v>733</v>
      </c>
      <c r="F40" s="318" t="s">
        <v>713</v>
      </c>
      <c r="G40" s="1258">
        <v>30</v>
      </c>
      <c r="H40" s="1259"/>
      <c r="I40" s="1248"/>
      <c r="J40" s="650">
        <v>14440.76</v>
      </c>
      <c r="K40" s="675">
        <v>0</v>
      </c>
      <c r="L40" s="662"/>
      <c r="M40" s="650">
        <v>14440.76</v>
      </c>
    </row>
    <row r="41" spans="1:13" ht="19.5" customHeight="1">
      <c r="A41" s="319" t="s">
        <v>902</v>
      </c>
      <c r="B41" s="560" t="s">
        <v>947</v>
      </c>
      <c r="C41" s="467"/>
      <c r="D41" s="467"/>
      <c r="E41" s="290" t="s">
        <v>733</v>
      </c>
      <c r="F41" s="643" t="s">
        <v>711</v>
      </c>
      <c r="G41" s="1358">
        <f>51134+43392</f>
        <v>94526</v>
      </c>
      <c r="H41" s="1359"/>
      <c r="I41" s="1360"/>
      <c r="J41" s="674">
        <f>30491.11+28219.1</f>
        <v>58710.21</v>
      </c>
      <c r="K41" s="674">
        <f>30491.11+28219.1</f>
        <v>58710.21</v>
      </c>
      <c r="L41" s="317"/>
      <c r="M41" s="672"/>
    </row>
    <row r="42" spans="1:13" ht="41.25" customHeight="1">
      <c r="A42" s="719" t="s">
        <v>821</v>
      </c>
      <c r="B42" s="463" t="s">
        <v>50</v>
      </c>
      <c r="C42" s="257">
        <v>100203</v>
      </c>
      <c r="D42" s="258">
        <v>2240</v>
      </c>
      <c r="E42" s="287"/>
      <c r="F42" s="373" t="s">
        <v>800</v>
      </c>
      <c r="G42" s="374">
        <f>G43+G46+G49+G52+G55+G58+G61+G64+G67+G70+G73+G76</f>
        <v>4765.400000000001</v>
      </c>
      <c r="H42" s="362"/>
      <c r="I42" s="375">
        <f>I43+I46+I49+I52+I55+I58+I61+I64+I67+I70+I73+I76</f>
        <v>159</v>
      </c>
      <c r="J42" s="666">
        <f>J43+J46+J49+J52+J55+J58+J61+J64+J67+J70+J73+J76</f>
        <v>570585.11</v>
      </c>
      <c r="K42" s="666">
        <f>K43+K46+K49+K52+K55+K58+K61+K64+K67+K70+K73+K76</f>
        <v>570585.11</v>
      </c>
      <c r="L42" s="650"/>
      <c r="M42" s="666"/>
    </row>
    <row r="43" spans="1:13" ht="39.75" customHeight="1">
      <c r="A43" s="370" t="s">
        <v>822</v>
      </c>
      <c r="B43" s="468" t="s">
        <v>92</v>
      </c>
      <c r="C43" s="281"/>
      <c r="D43" s="340"/>
      <c r="E43" s="281"/>
      <c r="F43" s="530" t="s">
        <v>800</v>
      </c>
      <c r="G43" s="377">
        <v>651.5</v>
      </c>
      <c r="H43" s="361"/>
      <c r="I43" s="378">
        <v>17</v>
      </c>
      <c r="J43" s="662">
        <f>J44+J45</f>
        <v>62922.59</v>
      </c>
      <c r="K43" s="662">
        <f>K44+K45</f>
        <v>62922.59</v>
      </c>
      <c r="L43" s="317"/>
      <c r="M43" s="672"/>
    </row>
    <row r="44" spans="1:13" ht="15" customHeight="1">
      <c r="A44" s="504"/>
      <c r="B44" s="469" t="s">
        <v>829</v>
      </c>
      <c r="C44" s="281"/>
      <c r="D44" s="340"/>
      <c r="E44" s="281" t="s">
        <v>793</v>
      </c>
      <c r="F44" s="282" t="s">
        <v>800</v>
      </c>
      <c r="G44" s="283">
        <v>651.5</v>
      </c>
      <c r="H44" s="284"/>
      <c r="I44" s="285">
        <v>17</v>
      </c>
      <c r="J44" s="317">
        <v>62056.84</v>
      </c>
      <c r="K44" s="317">
        <v>62056.84</v>
      </c>
      <c r="L44" s="317"/>
      <c r="M44" s="672"/>
    </row>
    <row r="45" spans="1:13" ht="16.5" customHeight="1">
      <c r="A45" s="319"/>
      <c r="B45" s="469" t="s">
        <v>830</v>
      </c>
      <c r="C45" s="281"/>
      <c r="D45" s="340"/>
      <c r="E45" s="584" t="s">
        <v>799</v>
      </c>
      <c r="F45" s="282" t="s">
        <v>802</v>
      </c>
      <c r="G45" s="1258">
        <v>1</v>
      </c>
      <c r="H45" s="1259"/>
      <c r="I45" s="1248"/>
      <c r="J45" s="317">
        <v>865.75</v>
      </c>
      <c r="K45" s="317">
        <v>865.75</v>
      </c>
      <c r="L45" s="317"/>
      <c r="M45" s="317"/>
    </row>
    <row r="46" spans="1:13" ht="28.5" customHeight="1">
      <c r="A46" s="370" t="s">
        <v>823</v>
      </c>
      <c r="B46" s="468" t="s">
        <v>91</v>
      </c>
      <c r="C46" s="281"/>
      <c r="D46" s="340"/>
      <c r="E46" s="302"/>
      <c r="F46" s="530" t="s">
        <v>800</v>
      </c>
      <c r="G46" s="379">
        <v>407.3</v>
      </c>
      <c r="H46" s="378"/>
      <c r="I46" s="378">
        <v>7</v>
      </c>
      <c r="J46" s="662">
        <f>J47+J48</f>
        <v>33214.91</v>
      </c>
      <c r="K46" s="662">
        <f>K47+K48</f>
        <v>33214.91</v>
      </c>
      <c r="L46" s="317"/>
      <c r="M46" s="672"/>
    </row>
    <row r="47" spans="1:13" ht="16.5" customHeight="1">
      <c r="A47" s="504"/>
      <c r="B47" s="469" t="s">
        <v>829</v>
      </c>
      <c r="C47" s="281"/>
      <c r="D47" s="340"/>
      <c r="E47" s="281" t="s">
        <v>793</v>
      </c>
      <c r="F47" s="282" t="s">
        <v>800</v>
      </c>
      <c r="G47" s="286">
        <v>407.3</v>
      </c>
      <c r="H47" s="285"/>
      <c r="I47" s="285">
        <v>7</v>
      </c>
      <c r="J47" s="317">
        <v>32757.91</v>
      </c>
      <c r="K47" s="317">
        <v>32757.91</v>
      </c>
      <c r="L47" s="317"/>
      <c r="M47" s="672"/>
    </row>
    <row r="48" spans="1:13" ht="17.25" customHeight="1">
      <c r="A48" s="319"/>
      <c r="B48" s="469" t="s">
        <v>830</v>
      </c>
      <c r="C48" s="281"/>
      <c r="D48" s="340"/>
      <c r="E48" s="584" t="s">
        <v>799</v>
      </c>
      <c r="F48" s="282" t="s">
        <v>802</v>
      </c>
      <c r="G48" s="1243">
        <v>1</v>
      </c>
      <c r="H48" s="1243"/>
      <c r="I48" s="1243"/>
      <c r="J48" s="317">
        <v>457</v>
      </c>
      <c r="K48" s="317">
        <v>457</v>
      </c>
      <c r="L48" s="650"/>
      <c r="M48" s="317"/>
    </row>
    <row r="49" spans="1:13" ht="20.25" customHeight="1">
      <c r="A49" s="370" t="s">
        <v>841</v>
      </c>
      <c r="B49" s="469" t="s">
        <v>909</v>
      </c>
      <c r="C49" s="281"/>
      <c r="D49" s="340"/>
      <c r="E49" s="281"/>
      <c r="F49" s="530" t="s">
        <v>800</v>
      </c>
      <c r="G49" s="379">
        <f>G50</f>
        <v>394.1</v>
      </c>
      <c r="H49" s="378"/>
      <c r="I49" s="378">
        <f>I50</f>
        <v>14</v>
      </c>
      <c r="J49" s="662">
        <f>J50+J51</f>
        <v>48518.25</v>
      </c>
      <c r="K49" s="662">
        <f>K50+K51</f>
        <v>48518.25</v>
      </c>
      <c r="L49" s="317"/>
      <c r="M49" s="317"/>
    </row>
    <row r="50" spans="1:13" ht="19.5" customHeight="1">
      <c r="A50" s="504"/>
      <c r="B50" s="469" t="s">
        <v>829</v>
      </c>
      <c r="C50" s="281"/>
      <c r="D50" s="340"/>
      <c r="E50" s="281" t="s">
        <v>793</v>
      </c>
      <c r="F50" s="282" t="s">
        <v>800</v>
      </c>
      <c r="G50" s="286">
        <v>394.1</v>
      </c>
      <c r="H50" s="285"/>
      <c r="I50" s="285">
        <v>14</v>
      </c>
      <c r="J50" s="317">
        <v>47850.25</v>
      </c>
      <c r="K50" s="317">
        <v>47850.25</v>
      </c>
      <c r="L50" s="317"/>
      <c r="M50" s="317"/>
    </row>
    <row r="51" spans="1:13" ht="21.75" customHeight="1">
      <c r="A51" s="502"/>
      <c r="B51" s="469" t="s">
        <v>830</v>
      </c>
      <c r="C51" s="281"/>
      <c r="D51" s="340"/>
      <c r="E51" s="584" t="s">
        <v>799</v>
      </c>
      <c r="F51" s="282" t="s">
        <v>802</v>
      </c>
      <c r="G51" s="1243">
        <v>1</v>
      </c>
      <c r="H51" s="1243"/>
      <c r="I51" s="1243"/>
      <c r="J51" s="317">
        <v>668</v>
      </c>
      <c r="K51" s="317">
        <v>668</v>
      </c>
      <c r="L51" s="317"/>
      <c r="M51" s="317"/>
    </row>
    <row r="52" spans="1:13" ht="18" customHeight="1">
      <c r="A52" s="370" t="s">
        <v>842</v>
      </c>
      <c r="B52" s="469" t="s">
        <v>910</v>
      </c>
      <c r="C52" s="281"/>
      <c r="D52" s="340"/>
      <c r="E52" s="281"/>
      <c r="F52" s="530" t="s">
        <v>800</v>
      </c>
      <c r="G52" s="378">
        <f>G53</f>
        <v>667</v>
      </c>
      <c r="H52" s="378"/>
      <c r="I52" s="378">
        <f>I53</f>
        <v>19</v>
      </c>
      <c r="J52" s="662">
        <f>J53+J54</f>
        <v>70389.51</v>
      </c>
      <c r="K52" s="662">
        <f>K53+K54</f>
        <v>70389.51</v>
      </c>
      <c r="L52" s="317"/>
      <c r="M52" s="317"/>
    </row>
    <row r="53" spans="1:13" ht="15.75" customHeight="1">
      <c r="A53" s="504"/>
      <c r="B53" s="469" t="s">
        <v>829</v>
      </c>
      <c r="C53" s="281"/>
      <c r="D53" s="340"/>
      <c r="E53" s="281" t="s">
        <v>793</v>
      </c>
      <c r="F53" s="282" t="s">
        <v>800</v>
      </c>
      <c r="G53" s="285">
        <v>667</v>
      </c>
      <c r="H53" s="285"/>
      <c r="I53" s="285">
        <v>19</v>
      </c>
      <c r="J53" s="317">
        <v>69421.51</v>
      </c>
      <c r="K53" s="317">
        <v>69421.51</v>
      </c>
      <c r="L53" s="317"/>
      <c r="M53" s="317"/>
    </row>
    <row r="54" spans="1:13" ht="18" customHeight="1">
      <c r="A54" s="502"/>
      <c r="B54" s="469" t="s">
        <v>830</v>
      </c>
      <c r="C54" s="281"/>
      <c r="D54" s="340"/>
      <c r="E54" s="584" t="s">
        <v>799</v>
      </c>
      <c r="F54" s="282" t="s">
        <v>802</v>
      </c>
      <c r="G54" s="1243">
        <v>1</v>
      </c>
      <c r="H54" s="1243"/>
      <c r="I54" s="1243"/>
      <c r="J54" s="317">
        <v>968</v>
      </c>
      <c r="K54" s="317">
        <v>968</v>
      </c>
      <c r="L54" s="317"/>
      <c r="M54" s="317"/>
    </row>
    <row r="55" spans="1:13" ht="21.75" customHeight="1">
      <c r="A55" s="502" t="s">
        <v>843</v>
      </c>
      <c r="B55" s="469" t="s">
        <v>911</v>
      </c>
      <c r="C55" s="281"/>
      <c r="D55" s="340"/>
      <c r="E55" s="281"/>
      <c r="F55" s="530" t="s">
        <v>800</v>
      </c>
      <c r="G55" s="379">
        <f>G56</f>
        <v>637.9</v>
      </c>
      <c r="H55" s="378"/>
      <c r="I55" s="378">
        <f>I56</f>
        <v>17</v>
      </c>
      <c r="J55" s="662">
        <f>J56+J57</f>
        <v>64900.48</v>
      </c>
      <c r="K55" s="662">
        <f>K56+K57</f>
        <v>64900.48</v>
      </c>
      <c r="L55" s="317"/>
      <c r="M55" s="317"/>
    </row>
    <row r="56" spans="1:13" ht="17.25" customHeight="1">
      <c r="A56" s="504"/>
      <c r="B56" s="469" t="s">
        <v>829</v>
      </c>
      <c r="C56" s="281"/>
      <c r="D56" s="340"/>
      <c r="E56" s="281" t="s">
        <v>793</v>
      </c>
      <c r="F56" s="282" t="s">
        <v>800</v>
      </c>
      <c r="G56" s="338">
        <v>637.9</v>
      </c>
      <c r="H56" s="285"/>
      <c r="I56" s="285">
        <v>17</v>
      </c>
      <c r="J56" s="676">
        <v>64007.48</v>
      </c>
      <c r="K56" s="611">
        <v>64007.48</v>
      </c>
      <c r="L56" s="317"/>
      <c r="M56" s="317"/>
    </row>
    <row r="57" spans="1:13" ht="19.5" customHeight="1">
      <c r="A57" s="502"/>
      <c r="B57" s="469" t="s">
        <v>830</v>
      </c>
      <c r="C57" s="281"/>
      <c r="D57" s="340"/>
      <c r="E57" s="584" t="s">
        <v>799</v>
      </c>
      <c r="F57" s="282" t="s">
        <v>802</v>
      </c>
      <c r="G57" s="1243">
        <v>1</v>
      </c>
      <c r="H57" s="1243"/>
      <c r="I57" s="1243"/>
      <c r="J57" s="317">
        <v>893</v>
      </c>
      <c r="K57" s="317">
        <v>893</v>
      </c>
      <c r="L57" s="317"/>
      <c r="M57" s="317"/>
    </row>
    <row r="58" spans="1:13" ht="20.25" customHeight="1">
      <c r="A58" s="370" t="s">
        <v>844</v>
      </c>
      <c r="B58" s="469" t="s">
        <v>912</v>
      </c>
      <c r="C58" s="281"/>
      <c r="D58" s="340"/>
      <c r="E58" s="281"/>
      <c r="F58" s="530" t="s">
        <v>800</v>
      </c>
      <c r="G58" s="378">
        <v>0</v>
      </c>
      <c r="H58" s="378"/>
      <c r="I58" s="378">
        <v>2</v>
      </c>
      <c r="J58" s="662">
        <f>J59+J60</f>
        <v>4182.62</v>
      </c>
      <c r="K58" s="662">
        <f>K59+K60</f>
        <v>4182.62</v>
      </c>
      <c r="L58" s="317"/>
      <c r="M58" s="317"/>
    </row>
    <row r="59" spans="1:13" ht="17.25" customHeight="1">
      <c r="A59" s="504"/>
      <c r="B59" s="469" t="s">
        <v>829</v>
      </c>
      <c r="C59" s="279"/>
      <c r="D59" s="280"/>
      <c r="E59" s="281" t="s">
        <v>793</v>
      </c>
      <c r="F59" s="282" t="s">
        <v>800</v>
      </c>
      <c r="G59" s="285">
        <v>0</v>
      </c>
      <c r="H59" s="285"/>
      <c r="I59" s="285">
        <v>2</v>
      </c>
      <c r="J59" s="317">
        <f>1876.4+2280.22</f>
        <v>4156.62</v>
      </c>
      <c r="K59" s="317">
        <f>1876.4+2280.22</f>
        <v>4156.62</v>
      </c>
      <c r="L59" s="317"/>
      <c r="M59" s="317"/>
    </row>
    <row r="60" spans="1:13" ht="18.75" customHeight="1">
      <c r="A60" s="502"/>
      <c r="B60" s="469" t="s">
        <v>830</v>
      </c>
      <c r="C60" s="279"/>
      <c r="D60" s="280"/>
      <c r="E60" s="584" t="s">
        <v>799</v>
      </c>
      <c r="F60" s="282" t="s">
        <v>802</v>
      </c>
      <c r="G60" s="1243">
        <v>1</v>
      </c>
      <c r="H60" s="1243"/>
      <c r="I60" s="1243"/>
      <c r="J60" s="317">
        <v>26</v>
      </c>
      <c r="K60" s="317">
        <v>26</v>
      </c>
      <c r="L60" s="317"/>
      <c r="M60" s="317"/>
    </row>
    <row r="61" spans="1:13" ht="26.25" customHeight="1">
      <c r="A61" s="370" t="s">
        <v>917</v>
      </c>
      <c r="B61" s="469" t="s">
        <v>918</v>
      </c>
      <c r="C61" s="279"/>
      <c r="D61" s="280"/>
      <c r="E61" s="281"/>
      <c r="F61" s="530" t="s">
        <v>800</v>
      </c>
      <c r="G61" s="590">
        <v>0</v>
      </c>
      <c r="H61" s="361"/>
      <c r="I61" s="378">
        <v>7</v>
      </c>
      <c r="J61" s="662">
        <f>J62+J63</f>
        <v>15249.47</v>
      </c>
      <c r="K61" s="662">
        <f>K62+K63</f>
        <v>15249.47</v>
      </c>
      <c r="L61" s="662"/>
      <c r="M61" s="662"/>
    </row>
    <row r="62" spans="1:13" ht="21" customHeight="1">
      <c r="A62" s="504"/>
      <c r="B62" s="469" t="s">
        <v>829</v>
      </c>
      <c r="C62" s="279"/>
      <c r="D62" s="280"/>
      <c r="E62" s="281" t="s">
        <v>793</v>
      </c>
      <c r="F62" s="282" t="s">
        <v>800</v>
      </c>
      <c r="G62" s="285">
        <v>0</v>
      </c>
      <c r="H62" s="285"/>
      <c r="I62" s="285">
        <v>7</v>
      </c>
      <c r="J62" s="317">
        <v>15039.65</v>
      </c>
      <c r="K62" s="317">
        <v>15039.65</v>
      </c>
      <c r="L62" s="317"/>
      <c r="M62" s="317"/>
    </row>
    <row r="63" spans="1:13" ht="18.75" customHeight="1">
      <c r="A63" s="319"/>
      <c r="B63" s="469" t="s">
        <v>830</v>
      </c>
      <c r="C63" s="279"/>
      <c r="D63" s="280"/>
      <c r="E63" s="584" t="s">
        <v>799</v>
      </c>
      <c r="F63" s="282" t="s">
        <v>802</v>
      </c>
      <c r="G63" s="1243">
        <v>1</v>
      </c>
      <c r="H63" s="1243"/>
      <c r="I63" s="1243"/>
      <c r="J63" s="317">
        <v>209.82</v>
      </c>
      <c r="K63" s="317">
        <v>209.82</v>
      </c>
      <c r="L63" s="317"/>
      <c r="M63" s="317"/>
    </row>
    <row r="64" spans="1:13" ht="27" customHeight="1">
      <c r="A64" s="370" t="s">
        <v>942</v>
      </c>
      <c r="B64" s="469" t="s">
        <v>943</v>
      </c>
      <c r="C64" s="279"/>
      <c r="D64" s="280"/>
      <c r="E64" s="325"/>
      <c r="F64" s="530" t="s">
        <v>800</v>
      </c>
      <c r="G64" s="572">
        <f>G65</f>
        <v>100.4</v>
      </c>
      <c r="H64" s="354"/>
      <c r="I64" s="378">
        <f>I65</f>
        <v>4</v>
      </c>
      <c r="J64" s="662">
        <f>J65+J66</f>
        <v>25423.2</v>
      </c>
      <c r="K64" s="662">
        <f>K65+K66</f>
        <v>25423.2</v>
      </c>
      <c r="L64" s="317"/>
      <c r="M64" s="317"/>
    </row>
    <row r="65" spans="1:13" ht="19.5" customHeight="1">
      <c r="A65" s="504"/>
      <c r="B65" s="469" t="s">
        <v>829</v>
      </c>
      <c r="C65" s="279"/>
      <c r="D65" s="280"/>
      <c r="E65" s="281" t="s">
        <v>793</v>
      </c>
      <c r="F65" s="282" t="s">
        <v>800</v>
      </c>
      <c r="G65" s="286">
        <v>100.4</v>
      </c>
      <c r="H65" s="285"/>
      <c r="I65" s="285">
        <v>4</v>
      </c>
      <c r="J65" s="317">
        <v>25073.4</v>
      </c>
      <c r="K65" s="317">
        <v>25073.4</v>
      </c>
      <c r="L65" s="317"/>
      <c r="M65" s="317"/>
    </row>
    <row r="66" spans="1:13" ht="21.75" customHeight="1">
      <c r="A66" s="502"/>
      <c r="B66" s="470" t="s">
        <v>830</v>
      </c>
      <c r="C66" s="279"/>
      <c r="D66" s="280"/>
      <c r="E66" s="584" t="s">
        <v>799</v>
      </c>
      <c r="F66" s="282" t="s">
        <v>802</v>
      </c>
      <c r="G66" s="1243">
        <v>1</v>
      </c>
      <c r="H66" s="1243"/>
      <c r="I66" s="1243"/>
      <c r="J66" s="317">
        <v>349.8</v>
      </c>
      <c r="K66" s="317">
        <v>349.8</v>
      </c>
      <c r="L66" s="317"/>
      <c r="M66" s="317"/>
    </row>
    <row r="67" spans="1:13" ht="20.25" customHeight="1">
      <c r="A67" s="502" t="s">
        <v>944</v>
      </c>
      <c r="B67" s="469" t="s">
        <v>950</v>
      </c>
      <c r="C67" s="281"/>
      <c r="D67" s="340"/>
      <c r="E67" s="281"/>
      <c r="F67" s="530" t="s">
        <v>800</v>
      </c>
      <c r="G67" s="379">
        <f>G68</f>
        <v>628.2</v>
      </c>
      <c r="H67" s="378"/>
      <c r="I67" s="378">
        <v>23</v>
      </c>
      <c r="J67" s="662">
        <f>J68+J69</f>
        <v>79760.65</v>
      </c>
      <c r="K67" s="662">
        <f>K68+K69</f>
        <v>79760.65</v>
      </c>
      <c r="L67" s="317"/>
      <c r="M67" s="317"/>
    </row>
    <row r="68" spans="1:13" ht="18" customHeight="1">
      <c r="A68" s="504"/>
      <c r="B68" s="469" t="s">
        <v>829</v>
      </c>
      <c r="C68" s="279"/>
      <c r="D68" s="280"/>
      <c r="E68" s="281" t="s">
        <v>793</v>
      </c>
      <c r="F68" s="282" t="s">
        <v>800</v>
      </c>
      <c r="G68" s="286">
        <v>628.2</v>
      </c>
      <c r="H68" s="285"/>
      <c r="I68" s="285">
        <v>23</v>
      </c>
      <c r="J68" s="317">
        <v>78663.23</v>
      </c>
      <c r="K68" s="317">
        <v>78663.23</v>
      </c>
      <c r="L68" s="317"/>
      <c r="M68" s="317"/>
    </row>
    <row r="69" spans="1:13" ht="19.5" customHeight="1">
      <c r="A69" s="319"/>
      <c r="B69" s="469" t="s">
        <v>830</v>
      </c>
      <c r="C69" s="279"/>
      <c r="D69" s="280"/>
      <c r="E69" s="584" t="s">
        <v>799</v>
      </c>
      <c r="F69" s="282" t="s">
        <v>802</v>
      </c>
      <c r="G69" s="1243">
        <v>1</v>
      </c>
      <c r="H69" s="1243"/>
      <c r="I69" s="1243"/>
      <c r="J69" s="317">
        <v>1097.42</v>
      </c>
      <c r="K69" s="317">
        <v>1097.42</v>
      </c>
      <c r="L69" s="317"/>
      <c r="M69" s="317"/>
    </row>
    <row r="70" spans="1:13" ht="22.5" customHeight="1">
      <c r="A70" s="370" t="s">
        <v>951</v>
      </c>
      <c r="B70" s="469" t="s">
        <v>952</v>
      </c>
      <c r="C70" s="281"/>
      <c r="D70" s="340"/>
      <c r="E70" s="281"/>
      <c r="F70" s="530" t="s">
        <v>800</v>
      </c>
      <c r="G70" s="378">
        <v>0</v>
      </c>
      <c r="H70" s="378"/>
      <c r="I70" s="378">
        <v>14</v>
      </c>
      <c r="J70" s="662">
        <f>J71+J72</f>
        <v>31728.579999999998</v>
      </c>
      <c r="K70" s="662">
        <f>K71+K72</f>
        <v>31728.579999999998</v>
      </c>
      <c r="L70" s="317"/>
      <c r="M70" s="317"/>
    </row>
    <row r="71" spans="1:13" ht="21" customHeight="1">
      <c r="A71" s="504"/>
      <c r="B71" s="469" t="s">
        <v>829</v>
      </c>
      <c r="C71" s="279"/>
      <c r="D71" s="280"/>
      <c r="E71" s="281" t="s">
        <v>793</v>
      </c>
      <c r="F71" s="282" t="s">
        <v>800</v>
      </c>
      <c r="G71" s="285">
        <v>0</v>
      </c>
      <c r="H71" s="285"/>
      <c r="I71" s="285">
        <v>14</v>
      </c>
      <c r="J71" s="317">
        <v>31292.03</v>
      </c>
      <c r="K71" s="317">
        <v>31292.03</v>
      </c>
      <c r="L71" s="317"/>
      <c r="M71" s="317"/>
    </row>
    <row r="72" spans="1:13" ht="21" customHeight="1">
      <c r="A72" s="502"/>
      <c r="B72" s="469" t="s">
        <v>830</v>
      </c>
      <c r="C72" s="279"/>
      <c r="D72" s="280"/>
      <c r="E72" s="584" t="s">
        <v>799</v>
      </c>
      <c r="F72" s="282" t="s">
        <v>802</v>
      </c>
      <c r="G72" s="1243">
        <v>1</v>
      </c>
      <c r="H72" s="1243"/>
      <c r="I72" s="1243"/>
      <c r="J72" s="317">
        <v>436.55</v>
      </c>
      <c r="K72" s="317">
        <v>436.55</v>
      </c>
      <c r="L72" s="317"/>
      <c r="M72" s="317"/>
    </row>
    <row r="73" spans="1:13" ht="24" customHeight="1">
      <c r="A73" s="502" t="s">
        <v>18</v>
      </c>
      <c r="B73" s="469" t="s">
        <v>19</v>
      </c>
      <c r="C73" s="281"/>
      <c r="D73" s="340"/>
      <c r="E73" s="281"/>
      <c r="F73" s="530" t="s">
        <v>800</v>
      </c>
      <c r="G73" s="379">
        <v>916.4</v>
      </c>
      <c r="H73" s="378"/>
      <c r="I73" s="378">
        <v>24</v>
      </c>
      <c r="J73" s="662">
        <f>J74+J75</f>
        <v>92830.61</v>
      </c>
      <c r="K73" s="662">
        <f>K74+K75</f>
        <v>92830.61</v>
      </c>
      <c r="L73" s="317"/>
      <c r="M73" s="317"/>
    </row>
    <row r="74" spans="1:13" ht="19.5" customHeight="1">
      <c r="A74" s="504"/>
      <c r="B74" s="469" t="s">
        <v>829</v>
      </c>
      <c r="C74" s="279"/>
      <c r="D74" s="280"/>
      <c r="E74" s="281" t="s">
        <v>793</v>
      </c>
      <c r="F74" s="282" t="s">
        <v>800</v>
      </c>
      <c r="G74" s="286">
        <v>916.4</v>
      </c>
      <c r="H74" s="285"/>
      <c r="I74" s="285">
        <v>24</v>
      </c>
      <c r="J74" s="317">
        <v>91553.36</v>
      </c>
      <c r="K74" s="317">
        <v>91553.36</v>
      </c>
      <c r="L74" s="317"/>
      <c r="M74" s="317"/>
    </row>
    <row r="75" spans="1:13" ht="18.75" customHeight="1">
      <c r="A75" s="502"/>
      <c r="B75" s="469" t="s">
        <v>830</v>
      </c>
      <c r="C75" s="279"/>
      <c r="D75" s="280"/>
      <c r="E75" s="584" t="s">
        <v>799</v>
      </c>
      <c r="F75" s="282" t="s">
        <v>802</v>
      </c>
      <c r="G75" s="1243">
        <v>1</v>
      </c>
      <c r="H75" s="1243"/>
      <c r="I75" s="1243"/>
      <c r="J75" s="317">
        <v>1277.25</v>
      </c>
      <c r="K75" s="317">
        <v>1277.25</v>
      </c>
      <c r="L75" s="317"/>
      <c r="M75" s="317"/>
    </row>
    <row r="76" spans="1:13" ht="27.75" customHeight="1">
      <c r="A76" s="502" t="s">
        <v>20</v>
      </c>
      <c r="B76" s="469" t="s">
        <v>81</v>
      </c>
      <c r="C76" s="281"/>
      <c r="D76" s="340"/>
      <c r="E76" s="281"/>
      <c r="F76" s="530" t="s">
        <v>800</v>
      </c>
      <c r="G76" s="379">
        <v>362.6</v>
      </c>
      <c r="H76" s="378"/>
      <c r="I76" s="378">
        <v>11</v>
      </c>
      <c r="J76" s="662">
        <f>J77+J78</f>
        <v>41464.24</v>
      </c>
      <c r="K76" s="662">
        <f>K77+K78</f>
        <v>41464.24</v>
      </c>
      <c r="L76" s="317"/>
      <c r="M76" s="317"/>
    </row>
    <row r="77" spans="1:13" ht="20.25" customHeight="1">
      <c r="A77" s="504"/>
      <c r="B77" s="469" t="s">
        <v>829</v>
      </c>
      <c r="C77" s="279"/>
      <c r="D77" s="280"/>
      <c r="E77" s="281" t="s">
        <v>793</v>
      </c>
      <c r="F77" s="282" t="s">
        <v>800</v>
      </c>
      <c r="G77" s="286">
        <v>362.6</v>
      </c>
      <c r="H77" s="285"/>
      <c r="I77" s="285">
        <v>11</v>
      </c>
      <c r="J77" s="317">
        <v>40893.74</v>
      </c>
      <c r="K77" s="317">
        <v>40893.74</v>
      </c>
      <c r="L77" s="317"/>
      <c r="M77" s="317"/>
    </row>
    <row r="78" spans="1:13" ht="18" customHeight="1">
      <c r="A78" s="502"/>
      <c r="B78" s="469" t="s">
        <v>830</v>
      </c>
      <c r="C78" s="279"/>
      <c r="D78" s="280"/>
      <c r="E78" s="584" t="s">
        <v>799</v>
      </c>
      <c r="F78" s="282" t="s">
        <v>802</v>
      </c>
      <c r="G78" s="1243">
        <v>1</v>
      </c>
      <c r="H78" s="1243"/>
      <c r="I78" s="1243"/>
      <c r="J78" s="317">
        <v>570.5</v>
      </c>
      <c r="K78" s="317">
        <v>570.5</v>
      </c>
      <c r="L78" s="317"/>
      <c r="M78" s="317"/>
    </row>
    <row r="79" spans="1:13" ht="16.5" customHeight="1">
      <c r="A79" s="626">
        <v>8</v>
      </c>
      <c r="B79" s="312" t="s">
        <v>57</v>
      </c>
      <c r="C79" s="326">
        <v>100203</v>
      </c>
      <c r="D79" s="327">
        <v>2240</v>
      </c>
      <c r="E79" s="336"/>
      <c r="F79" s="373" t="s">
        <v>713</v>
      </c>
      <c r="G79" s="1315">
        <f>G80+G83+G86+G89+G92+G95</f>
        <v>6</v>
      </c>
      <c r="H79" s="1316"/>
      <c r="I79" s="1317"/>
      <c r="J79" s="659">
        <f>J80+J83+J86+J89+J92+J95</f>
        <v>81672.69</v>
      </c>
      <c r="K79" s="659">
        <f>K80+K83+K86+K89+K92+K95</f>
        <v>81672.69</v>
      </c>
      <c r="L79" s="677"/>
      <c r="M79" s="677"/>
    </row>
    <row r="80" spans="1:13" ht="21" customHeight="1">
      <c r="A80" s="370" t="s">
        <v>828</v>
      </c>
      <c r="B80" s="469" t="s">
        <v>913</v>
      </c>
      <c r="C80" s="281"/>
      <c r="D80" s="340"/>
      <c r="E80" s="281"/>
      <c r="F80" s="530" t="s">
        <v>713</v>
      </c>
      <c r="G80" s="1224">
        <v>1</v>
      </c>
      <c r="H80" s="1225"/>
      <c r="I80" s="1226"/>
      <c r="J80" s="662">
        <f>J81+J82</f>
        <v>5960.599999999999</v>
      </c>
      <c r="K80" s="662">
        <f>K81+K82</f>
        <v>5960.599999999999</v>
      </c>
      <c r="L80" s="317"/>
      <c r="M80" s="317"/>
    </row>
    <row r="81" spans="1:13" ht="18.75" customHeight="1">
      <c r="A81" s="504"/>
      <c r="B81" s="469" t="s">
        <v>829</v>
      </c>
      <c r="C81" s="281"/>
      <c r="D81" s="340"/>
      <c r="E81" s="317" t="s">
        <v>824</v>
      </c>
      <c r="F81" s="318" t="s">
        <v>713</v>
      </c>
      <c r="G81" s="1258">
        <v>1</v>
      </c>
      <c r="H81" s="1259"/>
      <c r="I81" s="1248"/>
      <c r="J81" s="317">
        <v>5860.49</v>
      </c>
      <c r="K81" s="317">
        <v>5860.49</v>
      </c>
      <c r="L81" s="317"/>
      <c r="M81" s="317"/>
    </row>
    <row r="82" spans="1:13" ht="18" customHeight="1">
      <c r="A82" s="502"/>
      <c r="B82" s="469" t="s">
        <v>830</v>
      </c>
      <c r="C82" s="281"/>
      <c r="D82" s="340"/>
      <c r="E82" s="584" t="s">
        <v>799</v>
      </c>
      <c r="F82" s="282" t="s">
        <v>802</v>
      </c>
      <c r="G82" s="1258">
        <v>1</v>
      </c>
      <c r="H82" s="1259"/>
      <c r="I82" s="1248"/>
      <c r="J82" s="317">
        <v>100.11</v>
      </c>
      <c r="K82" s="317">
        <v>100.11</v>
      </c>
      <c r="L82" s="317"/>
      <c r="M82" s="317"/>
    </row>
    <row r="83" spans="1:13" ht="20.25" customHeight="1">
      <c r="A83" s="502" t="s">
        <v>832</v>
      </c>
      <c r="B83" s="469" t="s">
        <v>88</v>
      </c>
      <c r="C83" s="281"/>
      <c r="D83" s="340"/>
      <c r="E83" s="325"/>
      <c r="F83" s="530" t="s">
        <v>713</v>
      </c>
      <c r="G83" s="1224">
        <v>1</v>
      </c>
      <c r="H83" s="1225"/>
      <c r="I83" s="1226"/>
      <c r="J83" s="662">
        <f>J84+J85</f>
        <v>5540.64</v>
      </c>
      <c r="K83" s="662">
        <f>K84+K85</f>
        <v>5540.64</v>
      </c>
      <c r="L83" s="317"/>
      <c r="M83" s="317"/>
    </row>
    <row r="84" spans="1:13" ht="18.75" customHeight="1">
      <c r="A84" s="333"/>
      <c r="B84" s="469" t="s">
        <v>829</v>
      </c>
      <c r="C84" s="281"/>
      <c r="D84" s="340"/>
      <c r="E84" s="317" t="s">
        <v>824</v>
      </c>
      <c r="F84" s="318" t="s">
        <v>713</v>
      </c>
      <c r="G84" s="1258">
        <v>1</v>
      </c>
      <c r="H84" s="1259"/>
      <c r="I84" s="1248"/>
      <c r="J84" s="317">
        <v>5447.59</v>
      </c>
      <c r="K84" s="317">
        <v>5447.59</v>
      </c>
      <c r="L84" s="317"/>
      <c r="M84" s="317"/>
    </row>
    <row r="85" spans="1:13" ht="19.5" customHeight="1">
      <c r="A85" s="502"/>
      <c r="B85" s="469" t="s">
        <v>830</v>
      </c>
      <c r="C85" s="281"/>
      <c r="D85" s="340"/>
      <c r="E85" s="281" t="s">
        <v>831</v>
      </c>
      <c r="F85" s="282" t="s">
        <v>802</v>
      </c>
      <c r="G85" s="1258">
        <v>1</v>
      </c>
      <c r="H85" s="1259"/>
      <c r="I85" s="1248"/>
      <c r="J85" s="317">
        <v>93.05</v>
      </c>
      <c r="K85" s="317">
        <v>93.05</v>
      </c>
      <c r="L85" s="317"/>
      <c r="M85" s="317"/>
    </row>
    <row r="86" spans="1:13" ht="23.25" customHeight="1">
      <c r="A86" s="502" t="s">
        <v>833</v>
      </c>
      <c r="B86" s="471" t="s">
        <v>89</v>
      </c>
      <c r="C86" s="315"/>
      <c r="D86" s="342"/>
      <c r="E86" s="315"/>
      <c r="F86" s="530" t="s">
        <v>713</v>
      </c>
      <c r="G86" s="1224">
        <v>1</v>
      </c>
      <c r="H86" s="1225"/>
      <c r="I86" s="1226"/>
      <c r="J86" s="662">
        <f>J87+J88</f>
        <v>12599.44</v>
      </c>
      <c r="K86" s="662">
        <f>K87+K88</f>
        <v>12599.44</v>
      </c>
      <c r="L86" s="317"/>
      <c r="M86" s="317"/>
    </row>
    <row r="87" spans="1:13" ht="18" customHeight="1">
      <c r="A87" s="504"/>
      <c r="B87" s="469" t="s">
        <v>829</v>
      </c>
      <c r="C87" s="281"/>
      <c r="D87" s="340"/>
      <c r="E87" s="317" t="s">
        <v>824</v>
      </c>
      <c r="F87" s="282" t="s">
        <v>713</v>
      </c>
      <c r="G87" s="1258">
        <v>1</v>
      </c>
      <c r="H87" s="1259"/>
      <c r="I87" s="1248"/>
      <c r="J87" s="317">
        <v>12388.19</v>
      </c>
      <c r="K87" s="317">
        <v>12388.19</v>
      </c>
      <c r="L87" s="317"/>
      <c r="M87" s="317"/>
    </row>
    <row r="88" spans="1:13" ht="21.75" customHeight="1">
      <c r="A88" s="502"/>
      <c r="B88" s="469" t="s">
        <v>830</v>
      </c>
      <c r="C88" s="281"/>
      <c r="D88" s="340"/>
      <c r="E88" s="584" t="s">
        <v>799</v>
      </c>
      <c r="F88" s="282" t="s">
        <v>802</v>
      </c>
      <c r="G88" s="1289">
        <v>1</v>
      </c>
      <c r="H88" s="1290"/>
      <c r="I88" s="1291"/>
      <c r="J88" s="678">
        <v>211.25</v>
      </c>
      <c r="K88" s="678">
        <v>211.25</v>
      </c>
      <c r="L88" s="678"/>
      <c r="M88" s="678"/>
    </row>
    <row r="89" spans="1:13" ht="22.5" customHeight="1">
      <c r="A89" s="502" t="s">
        <v>13</v>
      </c>
      <c r="B89" s="471" t="s">
        <v>14</v>
      </c>
      <c r="C89" s="315"/>
      <c r="D89" s="342"/>
      <c r="E89" s="315"/>
      <c r="F89" s="530" t="s">
        <v>713</v>
      </c>
      <c r="G89" s="1224">
        <v>1</v>
      </c>
      <c r="H89" s="1225"/>
      <c r="I89" s="1226"/>
      <c r="J89" s="679">
        <f>J90+J91</f>
        <v>17935.49</v>
      </c>
      <c r="K89" s="679">
        <f>K90+K91</f>
        <v>17935.49</v>
      </c>
      <c r="L89" s="678"/>
      <c r="M89" s="678"/>
    </row>
    <row r="90" spans="1:13" ht="16.5" customHeight="1">
      <c r="A90" s="319"/>
      <c r="B90" s="469" t="s">
        <v>829</v>
      </c>
      <c r="C90" s="281"/>
      <c r="D90" s="340"/>
      <c r="E90" s="317" t="s">
        <v>824</v>
      </c>
      <c r="F90" s="282" t="s">
        <v>713</v>
      </c>
      <c r="G90" s="1258">
        <v>1</v>
      </c>
      <c r="H90" s="1259"/>
      <c r="I90" s="1248"/>
      <c r="J90" s="678">
        <v>17633.84</v>
      </c>
      <c r="K90" s="678">
        <v>17633.84</v>
      </c>
      <c r="L90" s="678"/>
      <c r="M90" s="678"/>
    </row>
    <row r="91" spans="1:13" ht="18" customHeight="1">
      <c r="A91" s="319"/>
      <c r="B91" s="469" t="s">
        <v>830</v>
      </c>
      <c r="C91" s="281"/>
      <c r="D91" s="340"/>
      <c r="E91" s="281" t="s">
        <v>17</v>
      </c>
      <c r="F91" s="282" t="s">
        <v>802</v>
      </c>
      <c r="G91" s="1258">
        <v>1</v>
      </c>
      <c r="H91" s="1259"/>
      <c r="I91" s="1248"/>
      <c r="J91" s="317">
        <v>301.65</v>
      </c>
      <c r="K91" s="317">
        <v>301.65</v>
      </c>
      <c r="L91" s="317"/>
      <c r="M91" s="317"/>
    </row>
    <row r="92" spans="1:13" ht="20.25" customHeight="1">
      <c r="A92" s="370" t="s">
        <v>15</v>
      </c>
      <c r="B92" s="469" t="s">
        <v>16</v>
      </c>
      <c r="C92" s="281"/>
      <c r="D92" s="340"/>
      <c r="E92" s="281"/>
      <c r="F92" s="530" t="s">
        <v>713</v>
      </c>
      <c r="G92" s="1224">
        <v>1</v>
      </c>
      <c r="H92" s="1225"/>
      <c r="I92" s="1226"/>
      <c r="J92" s="662">
        <f>J93+J94</f>
        <v>16958.489999999998</v>
      </c>
      <c r="K92" s="662">
        <f>K93+K94</f>
        <v>16958.489999999998</v>
      </c>
      <c r="L92" s="317"/>
      <c r="M92" s="317"/>
    </row>
    <row r="93" spans="1:13" ht="18.75" customHeight="1">
      <c r="A93" s="504"/>
      <c r="B93" s="469" t="s">
        <v>829</v>
      </c>
      <c r="C93" s="281"/>
      <c r="D93" s="340"/>
      <c r="E93" s="317" t="s">
        <v>824</v>
      </c>
      <c r="F93" s="282" t="s">
        <v>713</v>
      </c>
      <c r="G93" s="1258">
        <v>1</v>
      </c>
      <c r="H93" s="1259"/>
      <c r="I93" s="1248"/>
      <c r="J93" s="678">
        <v>16673.87</v>
      </c>
      <c r="K93" s="678">
        <v>16673.87</v>
      </c>
      <c r="L93" s="678"/>
      <c r="M93" s="678"/>
    </row>
    <row r="94" spans="1:13" ht="19.5" customHeight="1">
      <c r="A94" s="319"/>
      <c r="B94" s="469" t="s">
        <v>830</v>
      </c>
      <c r="C94" s="281"/>
      <c r="D94" s="340"/>
      <c r="E94" s="281" t="s">
        <v>17</v>
      </c>
      <c r="F94" s="282" t="s">
        <v>802</v>
      </c>
      <c r="G94" s="1258">
        <v>1</v>
      </c>
      <c r="H94" s="1259"/>
      <c r="I94" s="1248"/>
      <c r="J94" s="317">
        <v>284.62</v>
      </c>
      <c r="K94" s="317">
        <v>284.62</v>
      </c>
      <c r="L94" s="317"/>
      <c r="M94" s="317"/>
    </row>
    <row r="95" spans="1:13" ht="21" customHeight="1">
      <c r="A95" s="370" t="s">
        <v>62</v>
      </c>
      <c r="B95" s="471" t="s">
        <v>63</v>
      </c>
      <c r="C95" s="315"/>
      <c r="D95" s="342"/>
      <c r="E95" s="315"/>
      <c r="F95" s="530" t="s">
        <v>713</v>
      </c>
      <c r="G95" s="1224">
        <v>1</v>
      </c>
      <c r="H95" s="1225"/>
      <c r="I95" s="1226"/>
      <c r="J95" s="679">
        <f>J96</f>
        <v>22678.03</v>
      </c>
      <c r="K95" s="679">
        <f>K96</f>
        <v>22678.03</v>
      </c>
      <c r="L95" s="678"/>
      <c r="M95" s="678"/>
    </row>
    <row r="96" spans="1:13" ht="18" customHeight="1">
      <c r="A96" s="370"/>
      <c r="B96" s="469" t="s">
        <v>829</v>
      </c>
      <c r="C96" s="281"/>
      <c r="D96" s="340"/>
      <c r="E96" s="317" t="s">
        <v>824</v>
      </c>
      <c r="F96" s="282" t="s">
        <v>713</v>
      </c>
      <c r="G96" s="1258">
        <v>1</v>
      </c>
      <c r="H96" s="1259"/>
      <c r="I96" s="1248"/>
      <c r="J96" s="678">
        <v>22678.03</v>
      </c>
      <c r="K96" s="678">
        <v>22678.03</v>
      </c>
      <c r="L96" s="678"/>
      <c r="M96" s="678"/>
    </row>
    <row r="97" spans="1:14" ht="19.5" customHeight="1">
      <c r="A97" s="625" t="s">
        <v>834</v>
      </c>
      <c r="B97" s="472" t="s">
        <v>840</v>
      </c>
      <c r="C97" s="255">
        <v>100203</v>
      </c>
      <c r="D97" s="254">
        <v>2240</v>
      </c>
      <c r="E97" s="281"/>
      <c r="F97" s="324" t="s">
        <v>711</v>
      </c>
      <c r="G97" s="1355">
        <f>G98+G100+G102</f>
        <v>1142.3600000000001</v>
      </c>
      <c r="H97" s="1356"/>
      <c r="I97" s="1357"/>
      <c r="J97" s="660">
        <f>J98+J100+J102</f>
        <v>559875.6</v>
      </c>
      <c r="K97" s="660">
        <f>K98+K100+K102</f>
        <v>363297.6</v>
      </c>
      <c r="L97" s="317"/>
      <c r="M97" s="317"/>
      <c r="N97" s="644" t="s">
        <v>83</v>
      </c>
    </row>
    <row r="98" spans="1:13" ht="28.5" customHeight="1">
      <c r="A98" s="370" t="s">
        <v>877</v>
      </c>
      <c r="B98" s="473" t="s">
        <v>895</v>
      </c>
      <c r="C98" s="281"/>
      <c r="D98" s="340"/>
      <c r="E98" s="281"/>
      <c r="F98" s="341" t="s">
        <v>711</v>
      </c>
      <c r="G98" s="1224">
        <v>357</v>
      </c>
      <c r="H98" s="1225"/>
      <c r="I98" s="1226"/>
      <c r="J98" s="662">
        <f>J99</f>
        <v>194398.8</v>
      </c>
      <c r="K98" s="662">
        <f>K99</f>
        <v>194398.8</v>
      </c>
      <c r="L98" s="317"/>
      <c r="M98" s="317"/>
    </row>
    <row r="99" spans="1:13" ht="20.25" customHeight="1">
      <c r="A99" s="370"/>
      <c r="B99" s="470" t="s">
        <v>829</v>
      </c>
      <c r="C99" s="315"/>
      <c r="D99" s="342"/>
      <c r="E99" s="651" t="s">
        <v>838</v>
      </c>
      <c r="F99" s="369" t="s">
        <v>711</v>
      </c>
      <c r="G99" s="1344">
        <v>357</v>
      </c>
      <c r="H99" s="1345"/>
      <c r="I99" s="1346"/>
      <c r="J99" s="677">
        <f>194398.8</f>
        <v>194398.8</v>
      </c>
      <c r="K99" s="317">
        <v>194398.8</v>
      </c>
      <c r="L99" s="317"/>
      <c r="M99" s="317"/>
    </row>
    <row r="100" spans="1:13" ht="21" customHeight="1">
      <c r="A100" s="502" t="s">
        <v>954</v>
      </c>
      <c r="B100" s="469" t="s">
        <v>955</v>
      </c>
      <c r="C100" s="281"/>
      <c r="D100" s="340"/>
      <c r="E100" s="281"/>
      <c r="F100" s="496" t="s">
        <v>711</v>
      </c>
      <c r="G100" s="1292">
        <f>G101</f>
        <v>371.6</v>
      </c>
      <c r="H100" s="1293"/>
      <c r="I100" s="1294"/>
      <c r="J100" s="640">
        <f>J101</f>
        <v>168898.8</v>
      </c>
      <c r="K100" s="658">
        <f>K101</f>
        <v>168898.8</v>
      </c>
      <c r="L100" s="317"/>
      <c r="M100" s="317"/>
    </row>
    <row r="101" spans="1:13" ht="16.5" customHeight="1">
      <c r="A101" s="370"/>
      <c r="B101" s="470" t="s">
        <v>829</v>
      </c>
      <c r="C101" s="281"/>
      <c r="D101" s="340"/>
      <c r="E101" s="651" t="s">
        <v>838</v>
      </c>
      <c r="F101" s="369" t="s">
        <v>711</v>
      </c>
      <c r="G101" s="1295">
        <v>371.6</v>
      </c>
      <c r="H101" s="1296"/>
      <c r="I101" s="1297"/>
      <c r="J101" s="642">
        <v>168898.8</v>
      </c>
      <c r="K101" s="642">
        <v>168898.8</v>
      </c>
      <c r="L101" s="317"/>
      <c r="M101" s="317"/>
    </row>
    <row r="102" spans="1:13" ht="18" customHeight="1">
      <c r="A102" s="502" t="s">
        <v>72</v>
      </c>
      <c r="B102" s="469" t="s">
        <v>82</v>
      </c>
      <c r="C102" s="281"/>
      <c r="D102" s="340"/>
      <c r="E102" s="281"/>
      <c r="F102" s="496" t="s">
        <v>711</v>
      </c>
      <c r="G102" s="1347">
        <f>G103</f>
        <v>413.76</v>
      </c>
      <c r="H102" s="1348"/>
      <c r="I102" s="1349"/>
      <c r="J102" s="640">
        <f>J103</f>
        <v>196578</v>
      </c>
      <c r="K102" s="673">
        <v>0</v>
      </c>
      <c r="L102" s="317"/>
      <c r="M102" s="642">
        <v>196578</v>
      </c>
    </row>
    <row r="103" spans="1:13" ht="18.75" customHeight="1">
      <c r="A103" s="319"/>
      <c r="B103" s="470" t="s">
        <v>829</v>
      </c>
      <c r="C103" s="281"/>
      <c r="D103" s="340"/>
      <c r="E103" s="651" t="s">
        <v>838</v>
      </c>
      <c r="F103" s="651" t="s">
        <v>711</v>
      </c>
      <c r="G103" s="1350">
        <v>413.76</v>
      </c>
      <c r="H103" s="1351"/>
      <c r="I103" s="1352"/>
      <c r="J103" s="642">
        <v>196578</v>
      </c>
      <c r="K103" s="642">
        <v>0</v>
      </c>
      <c r="L103" s="317"/>
      <c r="M103" s="317"/>
    </row>
    <row r="104" spans="1:13" ht="27" customHeight="1">
      <c r="A104" s="719" t="s">
        <v>839</v>
      </c>
      <c r="B104" s="472" t="s">
        <v>935</v>
      </c>
      <c r="C104" s="474"/>
      <c r="D104" s="474"/>
      <c r="E104" s="474"/>
      <c r="F104" s="652" t="s">
        <v>802</v>
      </c>
      <c r="G104" s="1353">
        <v>2</v>
      </c>
      <c r="H104" s="1261"/>
      <c r="I104" s="1262"/>
      <c r="J104" s="680">
        <f>J105+J108</f>
        <v>126397.6</v>
      </c>
      <c r="K104" s="660">
        <f>K105+K108</f>
        <v>126397.6</v>
      </c>
      <c r="L104" s="317"/>
      <c r="M104" s="317"/>
    </row>
    <row r="105" spans="1:14" ht="27" customHeight="1">
      <c r="A105" s="370" t="s">
        <v>936</v>
      </c>
      <c r="B105" s="475" t="s">
        <v>87</v>
      </c>
      <c r="C105" s="474">
        <v>100203</v>
      </c>
      <c r="D105" s="474">
        <v>2240</v>
      </c>
      <c r="E105" s="505"/>
      <c r="F105" s="530" t="s">
        <v>802</v>
      </c>
      <c r="G105" s="1354">
        <v>1</v>
      </c>
      <c r="H105" s="1354"/>
      <c r="I105" s="1354"/>
      <c r="J105" s="681">
        <f>J106+J107</f>
        <v>111385.6</v>
      </c>
      <c r="K105" s="681">
        <f>K106+K107</f>
        <v>111385.6</v>
      </c>
      <c r="L105" s="317"/>
      <c r="M105" s="317"/>
      <c r="N105" s="3">
        <f>J104+J97</f>
        <v>686273.2</v>
      </c>
    </row>
    <row r="106" spans="1:13" ht="15" customHeight="1">
      <c r="A106" s="504"/>
      <c r="B106" s="469" t="s">
        <v>829</v>
      </c>
      <c r="C106" s="474"/>
      <c r="D106" s="474"/>
      <c r="E106" s="505" t="s">
        <v>937</v>
      </c>
      <c r="F106" s="282" t="s">
        <v>802</v>
      </c>
      <c r="G106" s="1243">
        <v>1</v>
      </c>
      <c r="H106" s="1243"/>
      <c r="I106" s="1243"/>
      <c r="J106" s="682">
        <f>67342.8+42256.8</f>
        <v>109599.6</v>
      </c>
      <c r="K106" s="682">
        <f>67342.8+42256.8</f>
        <v>109599.6</v>
      </c>
      <c r="L106" s="317"/>
      <c r="M106" s="317"/>
    </row>
    <row r="107" spans="1:13" ht="18.75" customHeight="1">
      <c r="A107" s="502"/>
      <c r="B107" s="469" t="s">
        <v>830</v>
      </c>
      <c r="C107" s="474"/>
      <c r="D107" s="474"/>
      <c r="E107" s="584" t="s">
        <v>799</v>
      </c>
      <c r="F107" s="282" t="s">
        <v>802</v>
      </c>
      <c r="G107" s="1342">
        <v>1</v>
      </c>
      <c r="H107" s="1342"/>
      <c r="I107" s="1342"/>
      <c r="J107" s="611">
        <v>1786</v>
      </c>
      <c r="K107" s="611">
        <v>1786</v>
      </c>
      <c r="L107" s="317"/>
      <c r="M107" s="317"/>
    </row>
    <row r="108" spans="1:13" ht="18" customHeight="1">
      <c r="A108" s="502" t="s">
        <v>64</v>
      </c>
      <c r="B108" s="469" t="s">
        <v>65</v>
      </c>
      <c r="C108" s="474">
        <v>100203</v>
      </c>
      <c r="D108" s="474">
        <v>2240</v>
      </c>
      <c r="E108" s="281"/>
      <c r="F108" s="530" t="s">
        <v>802</v>
      </c>
      <c r="G108" s="1306">
        <v>1</v>
      </c>
      <c r="H108" s="1306"/>
      <c r="I108" s="1306"/>
      <c r="J108" s="674">
        <f>J109</f>
        <v>15012</v>
      </c>
      <c r="K108" s="674">
        <f>K109</f>
        <v>15012</v>
      </c>
      <c r="L108" s="317"/>
      <c r="M108" s="317"/>
    </row>
    <row r="109" spans="1:13" ht="21" customHeight="1" thickBot="1">
      <c r="A109" s="630"/>
      <c r="B109" s="723" t="s">
        <v>829</v>
      </c>
      <c r="C109" s="480"/>
      <c r="D109" s="480"/>
      <c r="E109" s="688" t="s">
        <v>838</v>
      </c>
      <c r="F109" s="547" t="s">
        <v>802</v>
      </c>
      <c r="G109" s="1343">
        <v>1</v>
      </c>
      <c r="H109" s="1343"/>
      <c r="I109" s="1343"/>
      <c r="J109" s="551">
        <v>15012</v>
      </c>
      <c r="K109" s="551">
        <v>15012</v>
      </c>
      <c r="L109" s="684"/>
      <c r="M109" s="684"/>
    </row>
    <row r="110" spans="1:13" ht="31.5" customHeight="1" thickBot="1">
      <c r="A110" s="721" t="s">
        <v>28</v>
      </c>
      <c r="B110" s="453" t="s">
        <v>56</v>
      </c>
      <c r="C110" s="439">
        <v>100203</v>
      </c>
      <c r="D110" s="540">
        <v>3000</v>
      </c>
      <c r="E110" s="541"/>
      <c r="F110" s="542"/>
      <c r="G110" s="543"/>
      <c r="H110" s="544"/>
      <c r="I110" s="545"/>
      <c r="J110" s="698">
        <f>J111</f>
        <v>420393.4</v>
      </c>
      <c r="K110" s="698">
        <f>K111</f>
        <v>420393.4</v>
      </c>
      <c r="L110" s="699"/>
      <c r="M110" s="699"/>
    </row>
    <row r="111" spans="1:13" ht="21.75" customHeight="1">
      <c r="A111" s="625" t="s">
        <v>801</v>
      </c>
      <c r="B111" s="484" t="s">
        <v>52</v>
      </c>
      <c r="C111" s="257">
        <v>100203</v>
      </c>
      <c r="D111" s="258">
        <v>3132</v>
      </c>
      <c r="E111" s="325"/>
      <c r="F111" s="324" t="s">
        <v>711</v>
      </c>
      <c r="G111" s="1315">
        <f>G112</f>
        <v>797</v>
      </c>
      <c r="H111" s="1316"/>
      <c r="I111" s="1317"/>
      <c r="J111" s="666">
        <f>J112</f>
        <v>420393.4</v>
      </c>
      <c r="K111" s="666">
        <f>K112</f>
        <v>420393.4</v>
      </c>
      <c r="L111" s="650"/>
      <c r="M111" s="650"/>
    </row>
    <row r="112" spans="1:13" ht="29.25" customHeight="1">
      <c r="A112" s="370" t="s">
        <v>31</v>
      </c>
      <c r="B112" s="472" t="s">
        <v>957</v>
      </c>
      <c r="C112" s="255"/>
      <c r="D112" s="254"/>
      <c r="E112" s="281"/>
      <c r="F112" s="654" t="s">
        <v>711</v>
      </c>
      <c r="G112" s="1224">
        <v>797</v>
      </c>
      <c r="H112" s="1225"/>
      <c r="I112" s="1226"/>
      <c r="J112" s="662">
        <f>J113+J114+J115</f>
        <v>420393.4</v>
      </c>
      <c r="K112" s="662">
        <f>K113+K114+K115</f>
        <v>420393.4</v>
      </c>
      <c r="L112" s="317"/>
      <c r="M112" s="317"/>
    </row>
    <row r="113" spans="1:13" ht="18.75" customHeight="1">
      <c r="A113" s="727"/>
      <c r="B113" s="469" t="s">
        <v>829</v>
      </c>
      <c r="C113" s="364"/>
      <c r="D113" s="254"/>
      <c r="E113" s="584" t="s">
        <v>838</v>
      </c>
      <c r="F113" s="689" t="s">
        <v>711</v>
      </c>
      <c r="G113" s="1307">
        <v>797</v>
      </c>
      <c r="H113" s="1307"/>
      <c r="I113" s="1307"/>
      <c r="J113" s="317">
        <f>247791.19+164393.21</f>
        <v>412184.4</v>
      </c>
      <c r="K113" s="317">
        <f>247791.19+164393.21</f>
        <v>412184.4</v>
      </c>
      <c r="L113" s="317"/>
      <c r="M113" s="317"/>
    </row>
    <row r="114" spans="1:13" ht="19.5" customHeight="1">
      <c r="A114" s="434"/>
      <c r="B114" s="729" t="s">
        <v>830</v>
      </c>
      <c r="C114" s="635"/>
      <c r="D114" s="636"/>
      <c r="E114" s="584" t="s">
        <v>799</v>
      </c>
      <c r="F114" s="282" t="s">
        <v>802</v>
      </c>
      <c r="G114" s="1338">
        <v>1</v>
      </c>
      <c r="H114" s="1338"/>
      <c r="I114" s="1338"/>
      <c r="J114" s="683">
        <v>7357</v>
      </c>
      <c r="K114" s="683">
        <v>7357</v>
      </c>
      <c r="L114" s="662"/>
      <c r="M114" s="662"/>
    </row>
    <row r="115" spans="1:13" ht="18" customHeight="1">
      <c r="A115" s="633"/>
      <c r="B115" s="729" t="s">
        <v>9</v>
      </c>
      <c r="C115" s="728"/>
      <c r="D115" s="634"/>
      <c r="E115" s="584" t="s">
        <v>838</v>
      </c>
      <c r="F115" s="282" t="s">
        <v>802</v>
      </c>
      <c r="G115" s="1339">
        <v>1</v>
      </c>
      <c r="H115" s="1340"/>
      <c r="I115" s="1341"/>
      <c r="J115" s="683">
        <v>852</v>
      </c>
      <c r="K115" s="683">
        <v>852</v>
      </c>
      <c r="L115" s="317"/>
      <c r="M115" s="317"/>
    </row>
    <row r="116" spans="1:13" ht="55.5" customHeight="1" thickBot="1">
      <c r="A116" s="700" t="s">
        <v>29</v>
      </c>
      <c r="B116" s="701" t="s">
        <v>54</v>
      </c>
      <c r="C116" s="439">
        <v>100302</v>
      </c>
      <c r="D116" s="439">
        <v>2240</v>
      </c>
      <c r="E116" s="477"/>
      <c r="F116" s="320"/>
      <c r="G116" s="1286"/>
      <c r="H116" s="1287"/>
      <c r="I116" s="1288"/>
      <c r="J116" s="655">
        <f>J117+J118</f>
        <v>56428.78</v>
      </c>
      <c r="K116" s="655">
        <f>K117+K118</f>
        <v>56428.78</v>
      </c>
      <c r="L116" s="655"/>
      <c r="M116" s="702"/>
    </row>
    <row r="117" spans="1:15" ht="22.5" customHeight="1">
      <c r="A117" s="444" t="s">
        <v>801</v>
      </c>
      <c r="B117" s="478" t="s">
        <v>775</v>
      </c>
      <c r="C117" s="259"/>
      <c r="D117" s="260"/>
      <c r="E117" s="346" t="s">
        <v>759</v>
      </c>
      <c r="F117" s="251" t="s">
        <v>760</v>
      </c>
      <c r="G117" s="1334">
        <f>12+10+11+14+26</f>
        <v>73</v>
      </c>
      <c r="H117" s="1335"/>
      <c r="I117" s="1336"/>
      <c r="J117" s="685">
        <f>5943.39+4884.36+5265.35+6528.49+12857.91</f>
        <v>35479.5</v>
      </c>
      <c r="K117" s="685">
        <f>5943.39+4884.36+5265.35+6528.49+12857.91</f>
        <v>35479.5</v>
      </c>
      <c r="L117" s="685"/>
      <c r="M117" s="656"/>
      <c r="N117" t="s">
        <v>90</v>
      </c>
      <c r="O117" t="s">
        <v>84</v>
      </c>
    </row>
    <row r="118" spans="1:15" ht="26.25" customHeight="1">
      <c r="A118" s="331" t="s">
        <v>794</v>
      </c>
      <c r="B118" s="479" t="s">
        <v>51</v>
      </c>
      <c r="C118" s="437"/>
      <c r="D118" s="438"/>
      <c r="E118" s="690"/>
      <c r="F118" s="511" t="s">
        <v>713</v>
      </c>
      <c r="G118" s="1305">
        <f>G119+G120</f>
        <v>27</v>
      </c>
      <c r="H118" s="1306"/>
      <c r="I118" s="1306"/>
      <c r="J118" s="667">
        <f>J119+J120</f>
        <v>20949.280000000002</v>
      </c>
      <c r="K118" s="668">
        <f>K119+K120</f>
        <v>20949.280000000002</v>
      </c>
      <c r="L118" s="278"/>
      <c r="M118" s="686"/>
      <c r="N118">
        <v>2424.46</v>
      </c>
      <c r="O118" t="s">
        <v>85</v>
      </c>
    </row>
    <row r="119" spans="1:13" ht="18" customHeight="1">
      <c r="A119" s="370" t="s">
        <v>883</v>
      </c>
      <c r="B119" s="509"/>
      <c r="C119" s="255"/>
      <c r="D119" s="440"/>
      <c r="E119" s="584" t="s">
        <v>739</v>
      </c>
      <c r="F119" s="281" t="s">
        <v>713</v>
      </c>
      <c r="G119" s="1307">
        <f>5+2+10+2</f>
        <v>19</v>
      </c>
      <c r="H119" s="1307"/>
      <c r="I119" s="1307"/>
      <c r="J119" s="317">
        <f>226.38+123.49+185.22+605.04+3049.38+1208.58+1208.58+3358.36+177.45</f>
        <v>10142.480000000001</v>
      </c>
      <c r="K119" s="317">
        <f>226.38+123.49+185.22+605.04+3049.38+1208.58+1208.58+3358.36+177.45</f>
        <v>10142.480000000001</v>
      </c>
      <c r="L119" s="317"/>
      <c r="M119" s="662"/>
    </row>
    <row r="120" spans="1:13" ht="18" customHeight="1" thickBot="1">
      <c r="A120" s="630" t="s">
        <v>884</v>
      </c>
      <c r="B120" s="480"/>
      <c r="C120" s="480"/>
      <c r="D120" s="480"/>
      <c r="E120" s="691" t="s">
        <v>946</v>
      </c>
      <c r="F120" s="445" t="s">
        <v>713</v>
      </c>
      <c r="G120" s="1308">
        <v>8</v>
      </c>
      <c r="H120" s="1308"/>
      <c r="I120" s="1308"/>
      <c r="J120" s="684">
        <f>1483.22+1483.22+2074+1423.28+1483.22+1524.97+741.61+593.28</f>
        <v>10806.800000000001</v>
      </c>
      <c r="K120" s="684">
        <f>1483.22+1483.22+2074+1423.28+1483.22+1524.97+741.61+593.28</f>
        <v>10806.800000000001</v>
      </c>
      <c r="L120" s="687"/>
      <c r="M120" s="687"/>
    </row>
    <row r="121" spans="1:13" ht="56.25" customHeight="1" thickBot="1">
      <c r="A121" s="510" t="s">
        <v>30</v>
      </c>
      <c r="B121" s="482" t="s">
        <v>876</v>
      </c>
      <c r="C121" s="483"/>
      <c r="D121" s="439"/>
      <c r="E121" s="320"/>
      <c r="F121" s="442" t="s">
        <v>711</v>
      </c>
      <c r="G121" s="1337">
        <f>G122+G141</f>
        <v>4578</v>
      </c>
      <c r="H121" s="1313"/>
      <c r="I121" s="1314"/>
      <c r="J121" s="655">
        <f>J122+J141</f>
        <v>5545046.3100000005</v>
      </c>
      <c r="K121" s="655">
        <f>K122+K141</f>
        <v>5545046.3100000005</v>
      </c>
      <c r="L121" s="655">
        <f>L150+L156+L159+L163+L166</f>
        <v>3520076.3099999996</v>
      </c>
      <c r="M121" s="655"/>
    </row>
    <row r="122" spans="1:13" ht="21.75" customHeight="1">
      <c r="A122" s="627" t="s">
        <v>801</v>
      </c>
      <c r="B122" s="484" t="s">
        <v>53</v>
      </c>
      <c r="C122" s="257">
        <v>170703</v>
      </c>
      <c r="D122" s="258">
        <v>2240</v>
      </c>
      <c r="E122" s="325"/>
      <c r="F122" s="324" t="s">
        <v>711</v>
      </c>
      <c r="G122" s="1315">
        <f>G123+G126+G129+G132+G135+G138</f>
        <v>1966</v>
      </c>
      <c r="H122" s="1316"/>
      <c r="I122" s="1317"/>
      <c r="J122" s="666">
        <f>J123+J126+J129+J132+J135+J138</f>
        <v>768716.3999999999</v>
      </c>
      <c r="K122" s="666">
        <f>K123+K126+K129+K132+K135+K138</f>
        <v>768716.3999999999</v>
      </c>
      <c r="L122" s="650"/>
      <c r="M122" s="650"/>
    </row>
    <row r="123" spans="1:13" ht="21" customHeight="1">
      <c r="A123" s="370" t="s">
        <v>878</v>
      </c>
      <c r="B123" s="473" t="s">
        <v>836</v>
      </c>
      <c r="C123" s="281"/>
      <c r="D123" s="340"/>
      <c r="E123" s="281"/>
      <c r="F123" s="643" t="s">
        <v>711</v>
      </c>
      <c r="G123" s="1224">
        <v>475</v>
      </c>
      <c r="H123" s="1225"/>
      <c r="I123" s="1226"/>
      <c r="J123" s="662">
        <f>J124+J125</f>
        <v>187593.8</v>
      </c>
      <c r="K123" s="662">
        <f>K124+K125</f>
        <v>187593.8</v>
      </c>
      <c r="L123" s="317"/>
      <c r="M123" s="317"/>
    </row>
    <row r="124" spans="1:13" ht="21" customHeight="1">
      <c r="A124" s="504"/>
      <c r="B124" s="469" t="s">
        <v>829</v>
      </c>
      <c r="C124" s="281"/>
      <c r="D124" s="340"/>
      <c r="E124" s="584" t="s">
        <v>838</v>
      </c>
      <c r="F124" s="352" t="s">
        <v>711</v>
      </c>
      <c r="G124" s="1258">
        <f>G123</f>
        <v>475</v>
      </c>
      <c r="H124" s="1259"/>
      <c r="I124" s="1248"/>
      <c r="J124" s="317">
        <v>184750.8</v>
      </c>
      <c r="K124" s="317">
        <v>184750.8</v>
      </c>
      <c r="L124" s="317"/>
      <c r="M124" s="317"/>
    </row>
    <row r="125" spans="1:13" ht="19.5" customHeight="1">
      <c r="A125" s="502"/>
      <c r="B125" s="469" t="s">
        <v>830</v>
      </c>
      <c r="C125" s="281"/>
      <c r="D125" s="340"/>
      <c r="E125" s="584" t="s">
        <v>799</v>
      </c>
      <c r="F125" s="282" t="s">
        <v>802</v>
      </c>
      <c r="G125" s="1258">
        <v>1</v>
      </c>
      <c r="H125" s="1259"/>
      <c r="I125" s="1248"/>
      <c r="J125" s="317">
        <v>2843</v>
      </c>
      <c r="K125" s="317">
        <v>2843</v>
      </c>
      <c r="L125" s="317"/>
      <c r="M125" s="317"/>
    </row>
    <row r="126" spans="1:13" ht="21.75" customHeight="1">
      <c r="A126" s="370" t="s">
        <v>879</v>
      </c>
      <c r="B126" s="473" t="s">
        <v>837</v>
      </c>
      <c r="C126" s="281"/>
      <c r="D126" s="340"/>
      <c r="E126" s="341"/>
      <c r="F126" s="643" t="s">
        <v>711</v>
      </c>
      <c r="G126" s="1224">
        <f>G127</f>
        <v>430</v>
      </c>
      <c r="H126" s="1225"/>
      <c r="I126" s="1226"/>
      <c r="J126" s="662">
        <f>J127+J128</f>
        <v>193630.6</v>
      </c>
      <c r="K126" s="662">
        <f>K127+K128</f>
        <v>193630.6</v>
      </c>
      <c r="L126" s="317"/>
      <c r="M126" s="317"/>
    </row>
    <row r="127" spans="1:13" ht="21" customHeight="1">
      <c r="A127" s="504"/>
      <c r="B127" s="469" t="s">
        <v>829</v>
      </c>
      <c r="C127" s="281"/>
      <c r="D127" s="340"/>
      <c r="E127" s="584" t="s">
        <v>838</v>
      </c>
      <c r="F127" s="290" t="s">
        <v>711</v>
      </c>
      <c r="G127" s="1258">
        <v>430</v>
      </c>
      <c r="H127" s="1259"/>
      <c r="I127" s="1248"/>
      <c r="J127" s="317">
        <v>190665.6</v>
      </c>
      <c r="K127" s="317">
        <v>190665.6</v>
      </c>
      <c r="L127" s="317"/>
      <c r="M127" s="678"/>
    </row>
    <row r="128" spans="1:13" ht="17.25" customHeight="1">
      <c r="A128" s="319"/>
      <c r="B128" s="469" t="s">
        <v>830</v>
      </c>
      <c r="C128" s="279"/>
      <c r="D128" s="280"/>
      <c r="E128" s="689" t="s">
        <v>799</v>
      </c>
      <c r="F128" s="282" t="s">
        <v>802</v>
      </c>
      <c r="G128" s="1289">
        <v>1</v>
      </c>
      <c r="H128" s="1290"/>
      <c r="I128" s="1291"/>
      <c r="J128" s="317">
        <v>2965</v>
      </c>
      <c r="K128" s="317">
        <v>2965</v>
      </c>
      <c r="L128" s="317"/>
      <c r="M128" s="678"/>
    </row>
    <row r="129" spans="1:13" ht="21.75" customHeight="1">
      <c r="A129" s="502" t="s">
        <v>880</v>
      </c>
      <c r="B129" s="473" t="s">
        <v>874</v>
      </c>
      <c r="C129" s="279"/>
      <c r="D129" s="280"/>
      <c r="E129" s="689"/>
      <c r="F129" s="643" t="s">
        <v>711</v>
      </c>
      <c r="G129" s="1224">
        <v>440</v>
      </c>
      <c r="H129" s="1225"/>
      <c r="I129" s="1226"/>
      <c r="J129" s="662">
        <f>J130+J131</f>
        <v>174632.8</v>
      </c>
      <c r="K129" s="662">
        <f>K130+K131</f>
        <v>174632.8</v>
      </c>
      <c r="L129" s="317"/>
      <c r="M129" s="678"/>
    </row>
    <row r="130" spans="1:13" ht="19.5" customHeight="1">
      <c r="A130" s="319"/>
      <c r="B130" s="469" t="s">
        <v>829</v>
      </c>
      <c r="C130" s="281"/>
      <c r="D130" s="340"/>
      <c r="E130" s="584" t="s">
        <v>838</v>
      </c>
      <c r="F130" s="290" t="s">
        <v>711</v>
      </c>
      <c r="G130" s="1258">
        <v>440</v>
      </c>
      <c r="H130" s="1259"/>
      <c r="I130" s="1248"/>
      <c r="J130" s="317">
        <v>171988.8</v>
      </c>
      <c r="K130" s="317">
        <v>171988.8</v>
      </c>
      <c r="L130" s="317"/>
      <c r="M130" s="678"/>
    </row>
    <row r="131" spans="1:13" ht="21" customHeight="1">
      <c r="A131" s="502"/>
      <c r="B131" s="469" t="s">
        <v>830</v>
      </c>
      <c r="C131" s="279"/>
      <c r="D131" s="280"/>
      <c r="E131" s="584" t="s">
        <v>799</v>
      </c>
      <c r="F131" s="282" t="s">
        <v>802</v>
      </c>
      <c r="G131" s="1258">
        <v>1</v>
      </c>
      <c r="H131" s="1259"/>
      <c r="I131" s="1248"/>
      <c r="J131" s="317">
        <v>2644</v>
      </c>
      <c r="K131" s="317">
        <v>2644</v>
      </c>
      <c r="L131" s="317"/>
      <c r="M131" s="678"/>
    </row>
    <row r="132" spans="1:13" ht="20.25" customHeight="1">
      <c r="A132" s="502" t="s">
        <v>881</v>
      </c>
      <c r="B132" s="473" t="s">
        <v>875</v>
      </c>
      <c r="C132" s="279"/>
      <c r="D132" s="280"/>
      <c r="E132" s="584"/>
      <c r="F132" s="643" t="s">
        <v>711</v>
      </c>
      <c r="G132" s="1224">
        <v>380</v>
      </c>
      <c r="H132" s="1225"/>
      <c r="I132" s="1226"/>
      <c r="J132" s="662">
        <f>J133+J134</f>
        <v>154686</v>
      </c>
      <c r="K132" s="662">
        <f>K133+K134</f>
        <v>154686</v>
      </c>
      <c r="L132" s="317"/>
      <c r="M132" s="678"/>
    </row>
    <row r="133" spans="1:13" ht="21" customHeight="1">
      <c r="A133" s="504"/>
      <c r="B133" s="469" t="s">
        <v>829</v>
      </c>
      <c r="C133" s="281"/>
      <c r="D133" s="340"/>
      <c r="E133" s="584" t="s">
        <v>838</v>
      </c>
      <c r="F133" s="352" t="s">
        <v>711</v>
      </c>
      <c r="G133" s="1258">
        <v>380</v>
      </c>
      <c r="H133" s="1259"/>
      <c r="I133" s="1248"/>
      <c r="J133" s="317">
        <v>152346</v>
      </c>
      <c r="K133" s="317">
        <v>152346</v>
      </c>
      <c r="L133" s="317"/>
      <c r="M133" s="678"/>
    </row>
    <row r="134" spans="1:13" ht="18.75" customHeight="1">
      <c r="A134" s="319"/>
      <c r="B134" s="470" t="s">
        <v>830</v>
      </c>
      <c r="C134" s="366"/>
      <c r="D134" s="367"/>
      <c r="E134" s="689" t="s">
        <v>799</v>
      </c>
      <c r="F134" s="368" t="s">
        <v>802</v>
      </c>
      <c r="G134" s="1289">
        <v>1</v>
      </c>
      <c r="H134" s="1290"/>
      <c r="I134" s="1291"/>
      <c r="J134" s="678">
        <v>2340</v>
      </c>
      <c r="K134" s="678">
        <v>2340</v>
      </c>
      <c r="L134" s="678"/>
      <c r="M134" s="678"/>
    </row>
    <row r="135" spans="1:13" ht="19.5" customHeight="1">
      <c r="A135" s="370" t="s">
        <v>938</v>
      </c>
      <c r="B135" s="473" t="s">
        <v>941</v>
      </c>
      <c r="C135" s="279"/>
      <c r="D135" s="280"/>
      <c r="E135" s="584"/>
      <c r="F135" s="654" t="s">
        <v>711</v>
      </c>
      <c r="G135" s="1224">
        <v>150</v>
      </c>
      <c r="H135" s="1225"/>
      <c r="I135" s="1226"/>
      <c r="J135" s="662">
        <f>J136+J137</f>
        <v>22234</v>
      </c>
      <c r="K135" s="662">
        <f>K136+K137</f>
        <v>22234</v>
      </c>
      <c r="L135" s="317"/>
      <c r="M135" s="317"/>
    </row>
    <row r="136" spans="1:13" ht="21.75" customHeight="1">
      <c r="A136" s="333"/>
      <c r="B136" s="469" t="s">
        <v>829</v>
      </c>
      <c r="C136" s="281"/>
      <c r="D136" s="340"/>
      <c r="E136" s="584" t="s">
        <v>838</v>
      </c>
      <c r="F136" s="352" t="s">
        <v>711</v>
      </c>
      <c r="G136" s="1258">
        <v>150</v>
      </c>
      <c r="H136" s="1259"/>
      <c r="I136" s="1248"/>
      <c r="J136" s="317">
        <v>21894</v>
      </c>
      <c r="K136" s="317">
        <v>21894</v>
      </c>
      <c r="L136" s="678"/>
      <c r="M136" s="678"/>
    </row>
    <row r="137" spans="1:13" ht="21" customHeight="1">
      <c r="A137" s="334"/>
      <c r="B137" s="469" t="s">
        <v>830</v>
      </c>
      <c r="C137" s="279"/>
      <c r="D137" s="280"/>
      <c r="E137" s="584" t="s">
        <v>799</v>
      </c>
      <c r="F137" s="282" t="s">
        <v>802</v>
      </c>
      <c r="G137" s="1258">
        <v>1</v>
      </c>
      <c r="H137" s="1259"/>
      <c r="I137" s="1248"/>
      <c r="J137" s="317">
        <v>340</v>
      </c>
      <c r="K137" s="317">
        <v>340</v>
      </c>
      <c r="L137" s="317"/>
      <c r="M137" s="317"/>
    </row>
    <row r="138" spans="1:13" ht="21.75" customHeight="1">
      <c r="A138" s="502" t="s">
        <v>940</v>
      </c>
      <c r="B138" s="473" t="s">
        <v>939</v>
      </c>
      <c r="C138" s="279"/>
      <c r="D138" s="280"/>
      <c r="E138" s="584"/>
      <c r="F138" s="643" t="s">
        <v>711</v>
      </c>
      <c r="G138" s="1224">
        <v>91</v>
      </c>
      <c r="H138" s="1225"/>
      <c r="I138" s="1226"/>
      <c r="J138" s="662">
        <f>J139+J140</f>
        <v>35939.2</v>
      </c>
      <c r="K138" s="662">
        <f>K139+K140</f>
        <v>35939.2</v>
      </c>
      <c r="L138" s="678"/>
      <c r="M138" s="678"/>
    </row>
    <row r="139" spans="1:13" ht="20.25" customHeight="1">
      <c r="A139" s="504"/>
      <c r="B139" s="469" t="s">
        <v>829</v>
      </c>
      <c r="C139" s="281"/>
      <c r="D139" s="340"/>
      <c r="E139" s="584" t="s">
        <v>838</v>
      </c>
      <c r="F139" s="352" t="s">
        <v>711</v>
      </c>
      <c r="G139" s="1258">
        <v>91</v>
      </c>
      <c r="H139" s="1259"/>
      <c r="I139" s="1248"/>
      <c r="J139" s="317">
        <v>35389.2</v>
      </c>
      <c r="K139" s="317">
        <v>35389.2</v>
      </c>
      <c r="L139" s="678"/>
      <c r="M139" s="678"/>
    </row>
    <row r="140" spans="1:13" ht="19.5" customHeight="1">
      <c r="A140" s="502"/>
      <c r="B140" s="469" t="s">
        <v>830</v>
      </c>
      <c r="C140" s="279"/>
      <c r="D140" s="280"/>
      <c r="E140" s="584" t="s">
        <v>799</v>
      </c>
      <c r="F140" s="282" t="s">
        <v>802</v>
      </c>
      <c r="G140" s="1258">
        <v>1</v>
      </c>
      <c r="H140" s="1259"/>
      <c r="I140" s="1248"/>
      <c r="J140" s="317">
        <v>550</v>
      </c>
      <c r="K140" s="317">
        <v>550</v>
      </c>
      <c r="L140" s="317"/>
      <c r="M140" s="317"/>
    </row>
    <row r="141" spans="1:13" ht="17.25" customHeight="1">
      <c r="A141" s="730">
        <v>2</v>
      </c>
      <c r="B141" s="731" t="s">
        <v>55</v>
      </c>
      <c r="C141" s="254">
        <v>170703</v>
      </c>
      <c r="D141" s="254">
        <v>3132</v>
      </c>
      <c r="E141" s="352"/>
      <c r="F141" s="255" t="s">
        <v>711</v>
      </c>
      <c r="G141" s="1330">
        <f>G142+G145+G148+G151+G154+G157+G161+G164</f>
        <v>2612</v>
      </c>
      <c r="H141" s="1331"/>
      <c r="I141" s="1332"/>
      <c r="J141" s="660">
        <f>J142+J145+J148+J151+J154+J157+J161+J164</f>
        <v>4776329.91</v>
      </c>
      <c r="K141" s="660">
        <f>K142+K145+K148+K151+K154+K157+K161+K164</f>
        <v>4776329.91</v>
      </c>
      <c r="L141" s="278"/>
      <c r="M141" s="278"/>
    </row>
    <row r="142" spans="1:13" ht="27.75" customHeight="1">
      <c r="A142" s="436" t="s">
        <v>883</v>
      </c>
      <c r="B142" s="487" t="s">
        <v>893</v>
      </c>
      <c r="C142" s="364"/>
      <c r="D142" s="254"/>
      <c r="E142" s="352"/>
      <c r="F142" s="279" t="s">
        <v>711</v>
      </c>
      <c r="G142" s="1323">
        <f>G144</f>
        <v>939</v>
      </c>
      <c r="H142" s="1324"/>
      <c r="I142" s="1325"/>
      <c r="J142" s="662">
        <f>J143+J144</f>
        <v>443470.80000000005</v>
      </c>
      <c r="K142" s="662">
        <f>K143+K144</f>
        <v>443470.80000000005</v>
      </c>
      <c r="L142" s="278"/>
      <c r="M142" s="278"/>
    </row>
    <row r="143" spans="1:13" ht="23.25" customHeight="1">
      <c r="A143" s="508"/>
      <c r="B143" s="487" t="s">
        <v>892</v>
      </c>
      <c r="C143" s="364"/>
      <c r="D143" s="254"/>
      <c r="E143" s="584" t="s">
        <v>838</v>
      </c>
      <c r="F143" s="368" t="s">
        <v>713</v>
      </c>
      <c r="G143" s="1319">
        <v>1</v>
      </c>
      <c r="H143" s="1320"/>
      <c r="I143" s="1321"/>
      <c r="J143" s="317">
        <v>5940</v>
      </c>
      <c r="K143" s="317">
        <v>5940</v>
      </c>
      <c r="L143" s="317"/>
      <c r="M143" s="317"/>
    </row>
    <row r="144" spans="1:13" ht="21" customHeight="1">
      <c r="A144" s="722"/>
      <c r="B144" s="469" t="s">
        <v>829</v>
      </c>
      <c r="C144" s="364"/>
      <c r="D144" s="254"/>
      <c r="E144" s="584" t="s">
        <v>838</v>
      </c>
      <c r="F144" s="281" t="s">
        <v>711</v>
      </c>
      <c r="G144" s="1307">
        <v>939</v>
      </c>
      <c r="H144" s="1307"/>
      <c r="I144" s="1307"/>
      <c r="J144" s="317">
        <f>309293.96+128236.84</f>
        <v>437530.80000000005</v>
      </c>
      <c r="K144" s="317">
        <f>309293.96+128236.84</f>
        <v>437530.80000000005</v>
      </c>
      <c r="L144" s="317"/>
      <c r="M144" s="317"/>
    </row>
    <row r="145" spans="1:13" ht="17.25" customHeight="1">
      <c r="A145" s="629" t="s">
        <v>884</v>
      </c>
      <c r="B145" s="469" t="s">
        <v>894</v>
      </c>
      <c r="C145" s="364"/>
      <c r="D145" s="254"/>
      <c r="E145" s="352"/>
      <c r="F145" s="279" t="s">
        <v>711</v>
      </c>
      <c r="G145" s="1333">
        <f>G147</f>
        <v>873</v>
      </c>
      <c r="H145" s="1333"/>
      <c r="I145" s="1333"/>
      <c r="J145" s="662">
        <f>J146+J147</f>
        <v>407132.4</v>
      </c>
      <c r="K145" s="662">
        <f>K146+K147</f>
        <v>407132.4</v>
      </c>
      <c r="L145" s="317"/>
      <c r="M145" s="317"/>
    </row>
    <row r="146" spans="1:13" ht="18" customHeight="1">
      <c r="A146" s="508"/>
      <c r="B146" s="487" t="s">
        <v>892</v>
      </c>
      <c r="C146" s="364"/>
      <c r="D146" s="254"/>
      <c r="E146" s="584" t="s">
        <v>838</v>
      </c>
      <c r="F146" s="368" t="s">
        <v>713</v>
      </c>
      <c r="G146" s="1307">
        <v>1</v>
      </c>
      <c r="H146" s="1307"/>
      <c r="I146" s="1307"/>
      <c r="J146" s="317">
        <v>5848.8</v>
      </c>
      <c r="K146" s="317">
        <v>5848.8</v>
      </c>
      <c r="L146" s="317"/>
      <c r="M146" s="317"/>
    </row>
    <row r="147" spans="1:13" ht="16.5" customHeight="1">
      <c r="A147" s="722"/>
      <c r="B147" s="469" t="s">
        <v>829</v>
      </c>
      <c r="C147" s="364"/>
      <c r="D147" s="254"/>
      <c r="E147" s="584" t="s">
        <v>838</v>
      </c>
      <c r="F147" s="281" t="s">
        <v>711</v>
      </c>
      <c r="G147" s="1307">
        <v>873</v>
      </c>
      <c r="H147" s="1307"/>
      <c r="I147" s="1307"/>
      <c r="J147" s="317">
        <f>284198.59+117085.01</f>
        <v>401283.60000000003</v>
      </c>
      <c r="K147" s="317">
        <f>284198.59+117085.01</f>
        <v>401283.60000000003</v>
      </c>
      <c r="L147" s="317"/>
      <c r="M147" s="317"/>
    </row>
    <row r="148" spans="1:13" ht="28.5" customHeight="1">
      <c r="A148" s="502" t="s">
        <v>885</v>
      </c>
      <c r="B148" s="487" t="s">
        <v>953</v>
      </c>
      <c r="C148" s="385"/>
      <c r="D148" s="280"/>
      <c r="E148" s="584"/>
      <c r="F148" s="279" t="s">
        <v>711</v>
      </c>
      <c r="G148" s="1224"/>
      <c r="H148" s="1225"/>
      <c r="I148" s="1226"/>
      <c r="J148" s="662">
        <f>J149+J150</f>
        <v>686322.29</v>
      </c>
      <c r="K148" s="662">
        <f>K149+K150</f>
        <v>686322.29</v>
      </c>
      <c r="L148" s="317"/>
      <c r="M148" s="317"/>
    </row>
    <row r="149" spans="1:13" ht="19.5" customHeight="1">
      <c r="A149" s="504"/>
      <c r="B149" s="487" t="s">
        <v>892</v>
      </c>
      <c r="C149" s="385"/>
      <c r="D149" s="280"/>
      <c r="E149" s="584" t="s">
        <v>838</v>
      </c>
      <c r="F149" s="368" t="s">
        <v>713</v>
      </c>
      <c r="G149" s="1319">
        <v>1</v>
      </c>
      <c r="H149" s="1320"/>
      <c r="I149" s="1321"/>
      <c r="J149" s="317">
        <v>5996.4</v>
      </c>
      <c r="K149" s="317">
        <v>5996.4</v>
      </c>
      <c r="L149" s="317"/>
      <c r="M149" s="317"/>
    </row>
    <row r="150" spans="1:13" ht="18" customHeight="1">
      <c r="A150" s="319"/>
      <c r="B150" s="469" t="s">
        <v>829</v>
      </c>
      <c r="C150" s="385"/>
      <c r="D150" s="280"/>
      <c r="E150" s="584" t="s">
        <v>838</v>
      </c>
      <c r="F150" s="281" t="s">
        <v>711</v>
      </c>
      <c r="G150" s="1243" t="s">
        <v>765</v>
      </c>
      <c r="H150" s="1243"/>
      <c r="I150" s="1243"/>
      <c r="J150" s="317">
        <f>680325.89</f>
        <v>680325.89</v>
      </c>
      <c r="K150" s="317">
        <f>680325.89</f>
        <v>680325.89</v>
      </c>
      <c r="L150" s="317">
        <f>680325.89</f>
        <v>680325.89</v>
      </c>
      <c r="M150" s="317"/>
    </row>
    <row r="151" spans="1:13" ht="27.75" customHeight="1">
      <c r="A151" s="502" t="s">
        <v>886</v>
      </c>
      <c r="B151" s="487" t="s">
        <v>919</v>
      </c>
      <c r="C151" s="385"/>
      <c r="D151" s="280"/>
      <c r="E151" s="584"/>
      <c r="F151" s="279" t="s">
        <v>711</v>
      </c>
      <c r="G151" s="1323">
        <f>G153</f>
        <v>800</v>
      </c>
      <c r="H151" s="1324"/>
      <c r="I151" s="1325"/>
      <c r="J151" s="662">
        <f>J152+J153</f>
        <v>376075.2</v>
      </c>
      <c r="K151" s="662">
        <f>K152+K153</f>
        <v>376075.2</v>
      </c>
      <c r="L151" s="317"/>
      <c r="M151" s="317"/>
    </row>
    <row r="152" spans="1:13" ht="18.75" customHeight="1">
      <c r="A152" s="504"/>
      <c r="B152" s="487" t="s">
        <v>892</v>
      </c>
      <c r="C152" s="385"/>
      <c r="D152" s="280"/>
      <c r="E152" s="584" t="s">
        <v>838</v>
      </c>
      <c r="F152" s="368" t="s">
        <v>713</v>
      </c>
      <c r="G152" s="1319">
        <v>1</v>
      </c>
      <c r="H152" s="1320"/>
      <c r="I152" s="1321"/>
      <c r="J152" s="317">
        <v>5288.4</v>
      </c>
      <c r="K152" s="317">
        <v>5288.4</v>
      </c>
      <c r="L152" s="317"/>
      <c r="M152" s="317"/>
    </row>
    <row r="153" spans="1:13" ht="20.25" customHeight="1">
      <c r="A153" s="319"/>
      <c r="B153" s="469" t="s">
        <v>829</v>
      </c>
      <c r="C153" s="385"/>
      <c r="D153" s="280"/>
      <c r="E153" s="584" t="s">
        <v>838</v>
      </c>
      <c r="F153" s="281" t="s">
        <v>711</v>
      </c>
      <c r="G153" s="1307">
        <v>800</v>
      </c>
      <c r="H153" s="1307"/>
      <c r="I153" s="1307"/>
      <c r="J153" s="317">
        <f>260378.34+110408.46</f>
        <v>370786.8</v>
      </c>
      <c r="K153" s="317">
        <f>260378.34+110408.46</f>
        <v>370786.8</v>
      </c>
      <c r="L153" s="317"/>
      <c r="M153" s="317"/>
    </row>
    <row r="154" spans="1:13" ht="16.5" customHeight="1">
      <c r="A154" s="502" t="s">
        <v>887</v>
      </c>
      <c r="B154" s="487" t="s">
        <v>920</v>
      </c>
      <c r="C154" s="385"/>
      <c r="D154" s="280"/>
      <c r="E154" s="584"/>
      <c r="F154" s="279" t="s">
        <v>711</v>
      </c>
      <c r="G154" s="1319"/>
      <c r="H154" s="1320"/>
      <c r="I154" s="1321"/>
      <c r="J154" s="662">
        <f>J155+J156</f>
        <v>892599.5599999999</v>
      </c>
      <c r="K154" s="662">
        <f>K155+K156</f>
        <v>892599.5599999999</v>
      </c>
      <c r="L154" s="317"/>
      <c r="M154" s="317"/>
    </row>
    <row r="155" spans="1:13" ht="18.75" customHeight="1">
      <c r="A155" s="333"/>
      <c r="B155" s="487" t="s">
        <v>892</v>
      </c>
      <c r="C155" s="385"/>
      <c r="D155" s="280"/>
      <c r="E155" s="584" t="s">
        <v>838</v>
      </c>
      <c r="F155" s="368" t="s">
        <v>713</v>
      </c>
      <c r="G155" s="1319">
        <v>1</v>
      </c>
      <c r="H155" s="1320"/>
      <c r="I155" s="1321"/>
      <c r="J155" s="317">
        <v>5923.2</v>
      </c>
      <c r="K155" s="317">
        <v>5923.2</v>
      </c>
      <c r="L155" s="278"/>
      <c r="M155" s="278"/>
    </row>
    <row r="156" spans="1:13" ht="18.75" customHeight="1">
      <c r="A156" s="319"/>
      <c r="B156" s="469" t="s">
        <v>829</v>
      </c>
      <c r="C156" s="385"/>
      <c r="D156" s="280"/>
      <c r="E156" s="584" t="s">
        <v>838</v>
      </c>
      <c r="F156" s="281" t="s">
        <v>711</v>
      </c>
      <c r="G156" s="1307" t="s">
        <v>765</v>
      </c>
      <c r="H156" s="1307"/>
      <c r="I156" s="1307"/>
      <c r="J156" s="317">
        <v>886676.36</v>
      </c>
      <c r="K156" s="317">
        <v>886676.36</v>
      </c>
      <c r="L156" s="317">
        <v>886676.36</v>
      </c>
      <c r="M156" s="278"/>
    </row>
    <row r="157" spans="1:13" ht="24.75" customHeight="1">
      <c r="A157" s="502" t="s">
        <v>888</v>
      </c>
      <c r="B157" s="487" t="s">
        <v>921</v>
      </c>
      <c r="C157" s="385"/>
      <c r="D157" s="280"/>
      <c r="E157" s="584"/>
      <c r="F157" s="279" t="s">
        <v>711</v>
      </c>
      <c r="G157" s="1319"/>
      <c r="H157" s="1320"/>
      <c r="I157" s="1321"/>
      <c r="J157" s="662">
        <f>J158+J159+J160</f>
        <v>654623.77</v>
      </c>
      <c r="K157" s="662">
        <f>K158+K159+K160</f>
        <v>654623.77</v>
      </c>
      <c r="L157" s="278"/>
      <c r="M157" s="278"/>
    </row>
    <row r="158" spans="1:13" ht="19.5" customHeight="1">
      <c r="A158" s="504"/>
      <c r="B158" s="487" t="s">
        <v>892</v>
      </c>
      <c r="C158" s="385"/>
      <c r="D158" s="280"/>
      <c r="E158" s="584" t="s">
        <v>838</v>
      </c>
      <c r="F158" s="368" t="s">
        <v>713</v>
      </c>
      <c r="G158" s="1319">
        <v>1</v>
      </c>
      <c r="H158" s="1320"/>
      <c r="I158" s="1321"/>
      <c r="J158" s="317">
        <v>5998.8</v>
      </c>
      <c r="K158" s="317">
        <v>5998.8</v>
      </c>
      <c r="L158" s="278"/>
      <c r="M158" s="278"/>
    </row>
    <row r="159" spans="1:13" ht="18.75" customHeight="1">
      <c r="A159" s="319"/>
      <c r="B159" s="469" t="s">
        <v>829</v>
      </c>
      <c r="C159" s="385"/>
      <c r="D159" s="280"/>
      <c r="E159" s="584" t="s">
        <v>838</v>
      </c>
      <c r="F159" s="281" t="s">
        <v>711</v>
      </c>
      <c r="G159" s="1307" t="s">
        <v>765</v>
      </c>
      <c r="H159" s="1307"/>
      <c r="I159" s="1307"/>
      <c r="J159" s="317">
        <v>648624.97</v>
      </c>
      <c r="K159" s="317">
        <v>648624.97</v>
      </c>
      <c r="L159" s="317">
        <v>648624.97</v>
      </c>
      <c r="M159" s="278"/>
    </row>
    <row r="160" spans="1:13" ht="17.25" customHeight="1">
      <c r="A160" s="319"/>
      <c r="B160" s="470" t="s">
        <v>9</v>
      </c>
      <c r="C160" s="724"/>
      <c r="D160" s="367"/>
      <c r="E160" s="689"/>
      <c r="F160" s="368" t="s">
        <v>802</v>
      </c>
      <c r="G160" s="1289">
        <v>1</v>
      </c>
      <c r="H160" s="1290"/>
      <c r="I160" s="1291"/>
      <c r="J160" s="678"/>
      <c r="K160" s="678"/>
      <c r="L160" s="686"/>
      <c r="M160" s="686"/>
    </row>
    <row r="161" spans="1:13" ht="42.75" customHeight="1">
      <c r="A161" s="436" t="s">
        <v>889</v>
      </c>
      <c r="B161" s="692" t="s">
        <v>79</v>
      </c>
      <c r="C161" s="364"/>
      <c r="D161" s="254"/>
      <c r="E161" s="352"/>
      <c r="F161" s="279" t="s">
        <v>711</v>
      </c>
      <c r="G161" s="1309"/>
      <c r="H161" s="1310"/>
      <c r="I161" s="1311"/>
      <c r="J161" s="660">
        <f>J162+J163</f>
        <v>922087.74</v>
      </c>
      <c r="K161" s="660">
        <f>K162+K163</f>
        <v>922087.74</v>
      </c>
      <c r="L161" s="278"/>
      <c r="M161" s="278"/>
    </row>
    <row r="162" spans="1:13" ht="19.5" customHeight="1">
      <c r="A162" s="508"/>
      <c r="B162" s="372" t="s">
        <v>892</v>
      </c>
      <c r="C162" s="385"/>
      <c r="D162" s="280"/>
      <c r="E162" s="584" t="s">
        <v>838</v>
      </c>
      <c r="F162" s="368" t="s">
        <v>713</v>
      </c>
      <c r="G162" s="1319">
        <v>1</v>
      </c>
      <c r="H162" s="1320"/>
      <c r="I162" s="1321"/>
      <c r="J162" s="317">
        <v>5944.8</v>
      </c>
      <c r="K162" s="317">
        <v>5944.8</v>
      </c>
      <c r="L162" s="278"/>
      <c r="M162" s="278"/>
    </row>
    <row r="163" spans="1:13" ht="18.75" customHeight="1">
      <c r="A163" s="629"/>
      <c r="B163" s="301" t="s">
        <v>829</v>
      </c>
      <c r="C163" s="385"/>
      <c r="D163" s="280"/>
      <c r="E163" s="584" t="s">
        <v>838</v>
      </c>
      <c r="F163" s="281" t="s">
        <v>711</v>
      </c>
      <c r="G163" s="1307" t="s">
        <v>765</v>
      </c>
      <c r="H163" s="1307"/>
      <c r="I163" s="1307"/>
      <c r="J163" s="317">
        <v>916142.94</v>
      </c>
      <c r="K163" s="317">
        <v>916142.94</v>
      </c>
      <c r="L163" s="317">
        <v>916142.94</v>
      </c>
      <c r="M163" s="278"/>
    </row>
    <row r="164" spans="1:13" ht="24" customHeight="1">
      <c r="A164" s="629" t="s">
        <v>890</v>
      </c>
      <c r="B164" s="732" t="s">
        <v>923</v>
      </c>
      <c r="C164" s="733"/>
      <c r="D164" s="258"/>
      <c r="E164" s="290"/>
      <c r="F164" s="649" t="s">
        <v>711</v>
      </c>
      <c r="G164" s="1327"/>
      <c r="H164" s="1328"/>
      <c r="I164" s="1329"/>
      <c r="J164" s="666">
        <f>J165+J166</f>
        <v>394018.15</v>
      </c>
      <c r="K164" s="666">
        <f>K165+K166</f>
        <v>394018.15</v>
      </c>
      <c r="L164" s="336"/>
      <c r="M164" s="336"/>
    </row>
    <row r="165" spans="1:13" ht="18.75" customHeight="1">
      <c r="A165" s="508"/>
      <c r="B165" s="372" t="s">
        <v>892</v>
      </c>
      <c r="C165" s="385"/>
      <c r="D165" s="280"/>
      <c r="E165" s="584" t="s">
        <v>838</v>
      </c>
      <c r="F165" s="368" t="s">
        <v>713</v>
      </c>
      <c r="G165" s="1319">
        <v>1</v>
      </c>
      <c r="H165" s="1320"/>
      <c r="I165" s="1321"/>
      <c r="J165" s="317">
        <v>5712</v>
      </c>
      <c r="K165" s="317">
        <v>5712</v>
      </c>
      <c r="L165" s="278"/>
      <c r="M165" s="278"/>
    </row>
    <row r="166" spans="1:13" ht="19.5" customHeight="1">
      <c r="A166" s="629"/>
      <c r="B166" s="301" t="s">
        <v>829</v>
      </c>
      <c r="C166" s="385"/>
      <c r="D166" s="280"/>
      <c r="E166" s="584" t="s">
        <v>838</v>
      </c>
      <c r="F166" s="281" t="s">
        <v>711</v>
      </c>
      <c r="G166" s="1319" t="s">
        <v>765</v>
      </c>
      <c r="H166" s="1320"/>
      <c r="I166" s="1321"/>
      <c r="J166" s="317">
        <v>388306.15</v>
      </c>
      <c r="K166" s="317">
        <v>388306.15</v>
      </c>
      <c r="L166" s="317">
        <v>388306.15</v>
      </c>
      <c r="M166" s="278"/>
    </row>
    <row r="167" spans="1:13" ht="12.75">
      <c r="A167" s="261"/>
      <c r="B167" s="262"/>
      <c r="C167" s="263"/>
      <c r="D167" s="263"/>
      <c r="E167" s="264"/>
      <c r="F167" s="264"/>
      <c r="G167" s="170"/>
      <c r="H167" s="170"/>
      <c r="I167" s="170"/>
      <c r="J167" s="10"/>
      <c r="K167" s="10"/>
      <c r="L167" s="10"/>
      <c r="M167" s="265"/>
    </row>
    <row r="168" spans="1:13" ht="12.75">
      <c r="A168" s="1318" t="s">
        <v>804</v>
      </c>
      <c r="B168" s="1318"/>
      <c r="C168" s="1318"/>
      <c r="D168" s="1318"/>
      <c r="E168" s="1318"/>
      <c r="F168" s="1318"/>
      <c r="G168" s="1318"/>
      <c r="H168" s="345"/>
      <c r="I168" s="345"/>
      <c r="J168" s="344"/>
      <c r="K168" s="293"/>
      <c r="L168" s="344"/>
      <c r="M168" s="345" t="s">
        <v>748</v>
      </c>
    </row>
    <row r="169" spans="1:13" ht="14.25">
      <c r="A169" s="268" t="s">
        <v>803</v>
      </c>
      <c r="B169" s="269"/>
      <c r="C169" s="269"/>
      <c r="D169" s="270"/>
      <c r="E169" s="266"/>
      <c r="F169" s="267"/>
      <c r="G169" s="1326"/>
      <c r="H169" s="1326"/>
      <c r="I169" s="271"/>
      <c r="J169" s="183"/>
      <c r="K169" s="183"/>
      <c r="L169" s="183"/>
      <c r="M169" s="183"/>
    </row>
  </sheetData>
  <sheetProtection/>
  <mergeCells count="144">
    <mergeCell ref="G13:I13"/>
    <mergeCell ref="A6:A7"/>
    <mergeCell ref="G10:I10"/>
    <mergeCell ref="G9:I9"/>
    <mergeCell ref="A1:M1"/>
    <mergeCell ref="A2:M2"/>
    <mergeCell ref="A3:M3"/>
    <mergeCell ref="A4:M4"/>
    <mergeCell ref="A5:M5"/>
    <mergeCell ref="B6:B7"/>
    <mergeCell ref="C6:C7"/>
    <mergeCell ref="D6:D7"/>
    <mergeCell ref="E6:E7"/>
    <mergeCell ref="F6:F7"/>
    <mergeCell ref="G6:M6"/>
    <mergeCell ref="G7:I7"/>
    <mergeCell ref="G11:I11"/>
    <mergeCell ref="G8:I8"/>
    <mergeCell ref="G14:I14"/>
    <mergeCell ref="G20:I20"/>
    <mergeCell ref="G21:I21"/>
    <mergeCell ref="G17:I17"/>
    <mergeCell ref="G18:I18"/>
    <mergeCell ref="G16:I16"/>
    <mergeCell ref="G15:I15"/>
    <mergeCell ref="G30:I30"/>
    <mergeCell ref="G31:I31"/>
    <mergeCell ref="G32:I32"/>
    <mergeCell ref="G19:I19"/>
    <mergeCell ref="G23:I23"/>
    <mergeCell ref="G22:I22"/>
    <mergeCell ref="G38:I38"/>
    <mergeCell ref="G39:I39"/>
    <mergeCell ref="G34:I34"/>
    <mergeCell ref="G25:I25"/>
    <mergeCell ref="G33:I33"/>
    <mergeCell ref="G36:I36"/>
    <mergeCell ref="G37:I37"/>
    <mergeCell ref="G35:I35"/>
    <mergeCell ref="G28:I28"/>
    <mergeCell ref="G29:I29"/>
    <mergeCell ref="G75:I75"/>
    <mergeCell ref="G78:I78"/>
    <mergeCell ref="G72:I72"/>
    <mergeCell ref="G51:I51"/>
    <mergeCell ref="G54:I54"/>
    <mergeCell ref="G57:I57"/>
    <mergeCell ref="G60:I60"/>
    <mergeCell ref="G63:I63"/>
    <mergeCell ref="G66:I66"/>
    <mergeCell ref="G69:I69"/>
    <mergeCell ref="G40:I40"/>
    <mergeCell ref="G41:I41"/>
    <mergeCell ref="G45:I45"/>
    <mergeCell ref="G48:I48"/>
    <mergeCell ref="G79:I79"/>
    <mergeCell ref="G88:I88"/>
    <mergeCell ref="G80:I80"/>
    <mergeCell ref="G81:I81"/>
    <mergeCell ref="G82:I82"/>
    <mergeCell ref="G83:I83"/>
    <mergeCell ref="G84:I84"/>
    <mergeCell ref="G85:I85"/>
    <mergeCell ref="G86:I86"/>
    <mergeCell ref="G87:I87"/>
    <mergeCell ref="G96:I96"/>
    <mergeCell ref="G97:I97"/>
    <mergeCell ref="G89:I89"/>
    <mergeCell ref="G90:I90"/>
    <mergeCell ref="G91:I91"/>
    <mergeCell ref="G92:I92"/>
    <mergeCell ref="G93:I93"/>
    <mergeCell ref="G94:I94"/>
    <mergeCell ref="G95:I95"/>
    <mergeCell ref="G102:I102"/>
    <mergeCell ref="G112:I112"/>
    <mergeCell ref="G103:I103"/>
    <mergeCell ref="G104:I104"/>
    <mergeCell ref="G105:I105"/>
    <mergeCell ref="G106:I106"/>
    <mergeCell ref="G98:I98"/>
    <mergeCell ref="G99:I99"/>
    <mergeCell ref="G100:I100"/>
    <mergeCell ref="G101:I101"/>
    <mergeCell ref="G113:I113"/>
    <mergeCell ref="G114:I114"/>
    <mergeCell ref="G115:I115"/>
    <mergeCell ref="G107:I107"/>
    <mergeCell ref="G108:I108"/>
    <mergeCell ref="G109:I109"/>
    <mergeCell ref="G111:I111"/>
    <mergeCell ref="G126:I126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38:I138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46:I146"/>
    <mergeCell ref="G147:I147"/>
    <mergeCell ref="G144:I144"/>
    <mergeCell ref="G145:I145"/>
    <mergeCell ref="G140:I140"/>
    <mergeCell ref="G141:I141"/>
    <mergeCell ref="G142:I142"/>
    <mergeCell ref="G143:I143"/>
    <mergeCell ref="G151:I151"/>
    <mergeCell ref="G152:I152"/>
    <mergeCell ref="G153:I153"/>
    <mergeCell ref="G148:I148"/>
    <mergeCell ref="G149:I149"/>
    <mergeCell ref="G150:I150"/>
    <mergeCell ref="G156:I156"/>
    <mergeCell ref="G157:I157"/>
    <mergeCell ref="G154:I154"/>
    <mergeCell ref="G155:I155"/>
    <mergeCell ref="G169:H169"/>
    <mergeCell ref="G164:I164"/>
    <mergeCell ref="G165:I165"/>
    <mergeCell ref="G166:I166"/>
    <mergeCell ref="A168:G168"/>
    <mergeCell ref="G163:I163"/>
    <mergeCell ref="G158:I158"/>
    <mergeCell ref="G159:I159"/>
    <mergeCell ref="G160:I160"/>
    <mergeCell ref="G161:I161"/>
    <mergeCell ref="G162:I162"/>
  </mergeCells>
  <printOptions horizontalCentered="1"/>
  <pageMargins left="0.5905511811023623" right="0.3937007874015748" top="0.3937007874015748" bottom="0.3937007874015748" header="0" footer="0"/>
  <pageSetup horizontalDpi="600" verticalDpi="600" orientation="landscape" paperSize="9" scale="85" r:id="rId1"/>
  <headerFooter alignWithMargins="0">
    <oddFooter>&amp;C&amp;P</oddFooter>
  </headerFooter>
  <rowBreaks count="5" manualBreakCount="5">
    <brk id="27" max="255" man="1"/>
    <brk id="51" max="255" man="1"/>
    <brk id="82" max="12" man="1"/>
    <brk id="112" max="12" man="1"/>
    <brk id="14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34"/>
  <sheetViews>
    <sheetView tabSelected="1" view="pageBreakPreview" zoomScaleSheetLayoutView="100" workbookViewId="0" topLeftCell="A597">
      <selection activeCell="D629" sqref="D629:D631"/>
    </sheetView>
  </sheetViews>
  <sheetFormatPr defaultColWidth="9.00390625" defaultRowHeight="12.75"/>
  <cols>
    <col min="1" max="1" width="4.625" style="0" customWidth="1"/>
    <col min="2" max="2" width="44.375" style="0" customWidth="1"/>
    <col min="3" max="3" width="8.375" style="0" customWidth="1"/>
    <col min="4" max="4" width="7.25390625" style="0" customWidth="1"/>
    <col min="5" max="5" width="25.00390625" style="0" customWidth="1"/>
    <col min="6" max="6" width="8.75390625" style="0" customWidth="1"/>
    <col min="7" max="7" width="6.75390625" style="0" customWidth="1"/>
    <col min="8" max="8" width="2.625" style="0" hidden="1" customWidth="1"/>
    <col min="9" max="9" width="6.875" style="0" customWidth="1"/>
    <col min="10" max="10" width="15.00390625" style="0" customWidth="1"/>
    <col min="11" max="11" width="12.375" style="0" hidden="1" customWidth="1"/>
    <col min="12" max="12" width="9.625" style="0" hidden="1" customWidth="1"/>
    <col min="13" max="13" width="13.25390625" style="0" hidden="1" customWidth="1"/>
    <col min="14" max="14" width="14.75390625" style="0" customWidth="1"/>
    <col min="15" max="15" width="13.125" style="0" customWidth="1"/>
    <col min="16" max="16" width="14.375" style="0" customWidth="1"/>
    <col min="17" max="17" width="12.375" style="0" customWidth="1"/>
  </cols>
  <sheetData>
    <row r="1" spans="1:13" ht="22.5" customHeight="1">
      <c r="A1" s="1270" t="s">
        <v>734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38"/>
    </row>
    <row r="2" spans="1:13" ht="18.75" customHeight="1">
      <c r="A2" s="1271" t="s">
        <v>735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39"/>
    </row>
    <row r="3" spans="1:13" ht="15.75">
      <c r="A3" s="1271" t="s">
        <v>736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39"/>
    </row>
    <row r="4" spans="1:13" ht="15.75">
      <c r="A4" s="1271" t="s">
        <v>459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359"/>
    </row>
    <row r="5" spans="1:12" ht="15.75" customHeight="1">
      <c r="A5" s="1272"/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</row>
    <row r="6" spans="1:12" ht="15" customHeight="1">
      <c r="A6" s="1273" t="s">
        <v>715</v>
      </c>
      <c r="B6" s="1273" t="s">
        <v>707</v>
      </c>
      <c r="C6" s="1273" t="s">
        <v>716</v>
      </c>
      <c r="D6" s="1273" t="s">
        <v>712</v>
      </c>
      <c r="E6" s="1273" t="s">
        <v>708</v>
      </c>
      <c r="F6" s="1273" t="s">
        <v>709</v>
      </c>
      <c r="G6" s="1275" t="s">
        <v>460</v>
      </c>
      <c r="H6" s="1276"/>
      <c r="I6" s="1276"/>
      <c r="J6" s="1276"/>
      <c r="K6" s="1276"/>
      <c r="L6" s="1277"/>
    </row>
    <row r="7" spans="1:16" ht="57.75" customHeight="1" thickBot="1">
      <c r="A7" s="1274"/>
      <c r="B7" s="1274"/>
      <c r="C7" s="1274"/>
      <c r="D7" s="1274"/>
      <c r="E7" s="1274"/>
      <c r="F7" s="1274"/>
      <c r="G7" s="1268" t="s">
        <v>710</v>
      </c>
      <c r="H7" s="1269"/>
      <c r="I7" s="1266"/>
      <c r="J7" s="238" t="s">
        <v>284</v>
      </c>
      <c r="K7" s="239" t="s">
        <v>285</v>
      </c>
      <c r="L7" s="558" t="s">
        <v>786</v>
      </c>
      <c r="N7" s="1"/>
      <c r="O7" s="1"/>
      <c r="P7" s="1"/>
    </row>
    <row r="8" spans="1:15" ht="18.75" thickBot="1">
      <c r="A8" s="240"/>
      <c r="B8" s="452" t="s">
        <v>294</v>
      </c>
      <c r="C8" s="241"/>
      <c r="D8" s="242"/>
      <c r="E8" s="242"/>
      <c r="F8" s="243"/>
      <c r="G8" s="1255"/>
      <c r="H8" s="1256"/>
      <c r="I8" s="1257"/>
      <c r="J8" s="516">
        <f>J9+J12+J68+J83+J345+J418+J423+J617+J628</f>
        <v>37302266.43</v>
      </c>
      <c r="K8" s="516"/>
      <c r="L8" s="866"/>
      <c r="M8" s="67">
        <f>J8-K8</f>
        <v>37302266.43</v>
      </c>
      <c r="O8" s="3"/>
    </row>
    <row r="9" spans="1:18" ht="29.25" customHeight="1" thickBot="1">
      <c r="A9" s="798" t="s">
        <v>772</v>
      </c>
      <c r="B9" s="813" t="s">
        <v>43</v>
      </c>
      <c r="C9" s="814" t="s">
        <v>773</v>
      </c>
      <c r="D9" s="815" t="s">
        <v>774</v>
      </c>
      <c r="E9" s="816" t="s">
        <v>777</v>
      </c>
      <c r="F9" s="817" t="s">
        <v>853</v>
      </c>
      <c r="G9" s="1417">
        <v>75</v>
      </c>
      <c r="H9" s="1418"/>
      <c r="I9" s="1419"/>
      <c r="J9" s="809">
        <f>J10+J11</f>
        <v>62918.21</v>
      </c>
      <c r="K9" s="1183"/>
      <c r="L9" s="818"/>
      <c r="M9" s="43"/>
      <c r="N9" s="556"/>
      <c r="O9" s="8"/>
      <c r="P9" s="226"/>
      <c r="Q9" s="23"/>
      <c r="R9" s="23"/>
    </row>
    <row r="10" spans="1:18" ht="21" customHeight="1">
      <c r="A10" s="618">
        <v>1</v>
      </c>
      <c r="B10" s="454" t="s">
        <v>850</v>
      </c>
      <c r="C10" s="250"/>
      <c r="D10" s="251">
        <v>2111</v>
      </c>
      <c r="E10" s="251"/>
      <c r="F10" s="228"/>
      <c r="G10" s="1252"/>
      <c r="H10" s="1253"/>
      <c r="I10" s="1254"/>
      <c r="J10" s="229">
        <v>51572.29</v>
      </c>
      <c r="K10" s="256"/>
      <c r="L10" s="230"/>
      <c r="M10" s="861"/>
      <c r="N10" s="555"/>
      <c r="O10" s="141"/>
      <c r="P10" s="2"/>
      <c r="Q10" s="23"/>
      <c r="R10" s="23"/>
    </row>
    <row r="11" spans="1:18" ht="18" customHeight="1">
      <c r="A11" s="618">
        <v>2</v>
      </c>
      <c r="B11" s="1000" t="s">
        <v>851</v>
      </c>
      <c r="C11" s="438"/>
      <c r="D11" s="1001">
        <v>2120</v>
      </c>
      <c r="E11" s="1001"/>
      <c r="F11" s="1002"/>
      <c r="G11" s="1427"/>
      <c r="H11" s="1428"/>
      <c r="I11" s="1429"/>
      <c r="J11" s="1003">
        <v>11345.92</v>
      </c>
      <c r="K11" s="1003"/>
      <c r="L11" s="524"/>
      <c r="M11" s="499"/>
      <c r="N11" s="23"/>
      <c r="O11" s="186"/>
      <c r="P11" s="2"/>
      <c r="Q11" s="23"/>
      <c r="R11" s="23"/>
    </row>
    <row r="12" spans="1:18" ht="18" customHeight="1">
      <c r="A12" s="1005" t="s">
        <v>776</v>
      </c>
      <c r="B12" s="1004" t="s">
        <v>24</v>
      </c>
      <c r="C12" s="1005">
        <v>100101</v>
      </c>
      <c r="D12" s="1006"/>
      <c r="E12" s="1007"/>
      <c r="F12" s="1008"/>
      <c r="G12" s="1430"/>
      <c r="H12" s="1431"/>
      <c r="I12" s="1432"/>
      <c r="J12" s="1009">
        <f>J13+J53</f>
        <v>1383970.44</v>
      </c>
      <c r="K12" s="1009"/>
      <c r="L12" s="1009"/>
      <c r="M12" s="43"/>
      <c r="N12" s="151"/>
      <c r="O12" s="186"/>
      <c r="P12" s="2"/>
      <c r="Q12" s="23"/>
      <c r="R12" s="23"/>
    </row>
    <row r="13" spans="1:18" ht="27" customHeight="1">
      <c r="A13" s="891">
        <v>1</v>
      </c>
      <c r="B13" s="916" t="s">
        <v>401</v>
      </c>
      <c r="C13" s="254">
        <v>100101</v>
      </c>
      <c r="D13" s="255">
        <v>2240</v>
      </c>
      <c r="E13" s="277"/>
      <c r="F13" s="891"/>
      <c r="G13" s="1368"/>
      <c r="H13" s="1369"/>
      <c r="I13" s="1370"/>
      <c r="J13" s="234">
        <f>J14+J15+J16+J19+J22+J25+J26+J29+J32+J35+J38+J41+J42+J43+J46+J49+J50</f>
        <v>1111853.54</v>
      </c>
      <c r="K13" s="234">
        <v>1109437.67</v>
      </c>
      <c r="L13" s="234"/>
      <c r="M13" s="43"/>
      <c r="N13" s="151"/>
      <c r="O13" s="186"/>
      <c r="P13" s="2"/>
      <c r="Q13" s="23"/>
      <c r="R13" s="23"/>
    </row>
    <row r="14" spans="1:18" ht="18" customHeight="1">
      <c r="A14" s="891" t="s">
        <v>31</v>
      </c>
      <c r="B14" s="925" t="s">
        <v>402</v>
      </c>
      <c r="C14" s="254"/>
      <c r="D14" s="255"/>
      <c r="E14" s="281" t="s">
        <v>156</v>
      </c>
      <c r="F14" s="891" t="s">
        <v>157</v>
      </c>
      <c r="G14" s="1402">
        <v>41</v>
      </c>
      <c r="H14" s="1403"/>
      <c r="I14" s="1404"/>
      <c r="J14" s="360">
        <f>14965.2+34918.8</f>
        <v>49884</v>
      </c>
      <c r="K14" s="272"/>
      <c r="L14" s="234"/>
      <c r="M14" s="43"/>
      <c r="N14" s="151"/>
      <c r="O14" s="186"/>
      <c r="P14" s="2"/>
      <c r="Q14" s="23"/>
      <c r="R14" s="23"/>
    </row>
    <row r="15" spans="1:18" ht="18" customHeight="1">
      <c r="A15" s="891" t="s">
        <v>151</v>
      </c>
      <c r="B15" s="925" t="s">
        <v>517</v>
      </c>
      <c r="C15" s="254"/>
      <c r="D15" s="255"/>
      <c r="E15" s="281" t="s">
        <v>156</v>
      </c>
      <c r="F15" s="891" t="s">
        <v>157</v>
      </c>
      <c r="G15" s="1402">
        <v>50.6</v>
      </c>
      <c r="H15" s="1403"/>
      <c r="I15" s="1404"/>
      <c r="J15" s="360">
        <f>20995.15+48988.7</f>
        <v>69983.85</v>
      </c>
      <c r="K15" s="272"/>
      <c r="L15" s="234"/>
      <c r="M15" s="43"/>
      <c r="N15" s="151"/>
      <c r="O15" s="186"/>
      <c r="P15" s="2"/>
      <c r="Q15" s="23"/>
      <c r="R15" s="23"/>
    </row>
    <row r="16" spans="1:18" ht="18" customHeight="1">
      <c r="A16" s="1011" t="s">
        <v>161</v>
      </c>
      <c r="B16" s="1090" t="s">
        <v>518</v>
      </c>
      <c r="C16" s="258"/>
      <c r="D16" s="257"/>
      <c r="F16" s="1089" t="s">
        <v>713</v>
      </c>
      <c r="G16" s="1402">
        <v>1</v>
      </c>
      <c r="H16" s="1403"/>
      <c r="I16" s="1404"/>
      <c r="J16" s="383">
        <f>J17+J18</f>
        <v>70629.23</v>
      </c>
      <c r="K16" s="782"/>
      <c r="L16" s="235"/>
      <c r="M16" s="43"/>
      <c r="N16" s="151"/>
      <c r="O16" s="186"/>
      <c r="P16" s="2"/>
      <c r="Q16" s="23"/>
      <c r="R16" s="23"/>
    </row>
    <row r="17" spans="1:18" ht="18" customHeight="1">
      <c r="A17" s="1011"/>
      <c r="B17" s="469" t="s">
        <v>829</v>
      </c>
      <c r="C17" s="258"/>
      <c r="D17" s="257"/>
      <c r="E17" s="325" t="s">
        <v>169</v>
      </c>
      <c r="F17" s="1089"/>
      <c r="G17" s="1402"/>
      <c r="H17" s="1403"/>
      <c r="I17" s="1404"/>
      <c r="J17" s="272">
        <v>69195.08</v>
      </c>
      <c r="K17" s="332"/>
      <c r="L17" s="235"/>
      <c r="M17" s="43"/>
      <c r="N17" s="151"/>
      <c r="O17" s="186"/>
      <c r="P17" s="2"/>
      <c r="Q17" s="23"/>
      <c r="R17" s="23"/>
    </row>
    <row r="18" spans="1:18" ht="18" customHeight="1">
      <c r="A18" s="1011"/>
      <c r="B18" s="1058" t="s">
        <v>830</v>
      </c>
      <c r="C18" s="258"/>
      <c r="D18" s="257"/>
      <c r="E18" s="281" t="s">
        <v>17</v>
      </c>
      <c r="F18" s="1089"/>
      <c r="G18" s="1402"/>
      <c r="H18" s="1403"/>
      <c r="I18" s="1404"/>
      <c r="J18" s="332">
        <v>1434.15</v>
      </c>
      <c r="K18" s="332"/>
      <c r="L18" s="235"/>
      <c r="M18" s="43"/>
      <c r="N18" s="151"/>
      <c r="O18" s="186"/>
      <c r="P18" s="2"/>
      <c r="Q18" s="23"/>
      <c r="R18" s="23"/>
    </row>
    <row r="19" spans="1:18" ht="18" customHeight="1">
      <c r="A19" s="1011" t="s">
        <v>497</v>
      </c>
      <c r="B19" s="1090" t="s">
        <v>519</v>
      </c>
      <c r="C19" s="258"/>
      <c r="D19" s="257"/>
      <c r="E19" s="1154"/>
      <c r="F19" s="282" t="s">
        <v>802</v>
      </c>
      <c r="G19" s="1402">
        <v>1</v>
      </c>
      <c r="H19" s="1403"/>
      <c r="I19" s="1404"/>
      <c r="J19" s="1155">
        <f>J20+J21</f>
        <v>63307.990000000005</v>
      </c>
      <c r="K19" s="332"/>
      <c r="L19" s="235"/>
      <c r="M19" s="43"/>
      <c r="N19" s="151"/>
      <c r="O19" s="186"/>
      <c r="P19" s="2"/>
      <c r="Q19" s="23"/>
      <c r="R19" s="23"/>
    </row>
    <row r="20" spans="1:18" ht="18" customHeight="1">
      <c r="A20" s="1011"/>
      <c r="B20" s="469" t="s">
        <v>829</v>
      </c>
      <c r="C20" s="258"/>
      <c r="D20" s="257"/>
      <c r="E20" s="325" t="s">
        <v>169</v>
      </c>
      <c r="F20" s="1089" t="s">
        <v>713</v>
      </c>
      <c r="G20" s="1402">
        <v>1</v>
      </c>
      <c r="H20" s="1403"/>
      <c r="I20" s="1404"/>
      <c r="J20" s="332">
        <v>62016.87</v>
      </c>
      <c r="K20" s="316"/>
      <c r="L20" s="235"/>
      <c r="M20" s="43"/>
      <c r="N20" s="151"/>
      <c r="O20" s="186"/>
      <c r="P20" s="2"/>
      <c r="Q20" s="23"/>
      <c r="R20" s="23"/>
    </row>
    <row r="21" spans="1:18" ht="18" customHeight="1">
      <c r="A21" s="1011"/>
      <c r="B21" s="1058" t="s">
        <v>830</v>
      </c>
      <c r="C21" s="258"/>
      <c r="D21" s="257"/>
      <c r="E21" s="281" t="s">
        <v>17</v>
      </c>
      <c r="F21" s="1089"/>
      <c r="G21" s="1402"/>
      <c r="H21" s="1403"/>
      <c r="I21" s="1404"/>
      <c r="J21" s="332">
        <v>1291.12</v>
      </c>
      <c r="K21" s="272"/>
      <c r="L21" s="235"/>
      <c r="M21" s="43"/>
      <c r="N21" s="151"/>
      <c r="O21" s="186"/>
      <c r="P21" s="2"/>
      <c r="Q21" s="23"/>
      <c r="R21" s="23"/>
    </row>
    <row r="22" spans="1:18" ht="18" customHeight="1">
      <c r="A22" s="1011" t="s">
        <v>498</v>
      </c>
      <c r="B22" s="1090" t="s">
        <v>520</v>
      </c>
      <c r="C22" s="258"/>
      <c r="D22" s="257"/>
      <c r="F22" s="282" t="s">
        <v>802</v>
      </c>
      <c r="G22" s="1402">
        <v>1</v>
      </c>
      <c r="H22" s="1403"/>
      <c r="I22" s="1404"/>
      <c r="J22" s="1128">
        <f>J23+J24</f>
        <v>48285.340000000004</v>
      </c>
      <c r="K22" s="782"/>
      <c r="L22" s="235"/>
      <c r="M22" s="43"/>
      <c r="N22" s="151"/>
      <c r="O22" s="186"/>
      <c r="P22" s="2"/>
      <c r="Q22" s="23"/>
      <c r="R22" s="23"/>
    </row>
    <row r="23" spans="1:18" ht="18" customHeight="1">
      <c r="A23" s="1011"/>
      <c r="B23" s="469" t="s">
        <v>829</v>
      </c>
      <c r="C23" s="258"/>
      <c r="D23" s="257"/>
      <c r="E23" s="281" t="s">
        <v>169</v>
      </c>
      <c r="F23" s="1089"/>
      <c r="G23" s="1402"/>
      <c r="H23" s="1403"/>
      <c r="I23" s="1404"/>
      <c r="J23" s="272">
        <v>47303.62</v>
      </c>
      <c r="K23" s="272"/>
      <c r="L23" s="235"/>
      <c r="M23" s="43"/>
      <c r="N23" s="151"/>
      <c r="O23" s="186"/>
      <c r="P23" s="2"/>
      <c r="Q23" s="23"/>
      <c r="R23" s="23"/>
    </row>
    <row r="24" spans="1:18" ht="18" customHeight="1">
      <c r="A24" s="1011"/>
      <c r="B24" s="1058" t="s">
        <v>830</v>
      </c>
      <c r="C24" s="258"/>
      <c r="D24" s="257"/>
      <c r="E24" s="281" t="s">
        <v>17</v>
      </c>
      <c r="F24" s="1089"/>
      <c r="G24" s="1111"/>
      <c r="H24" s="1112"/>
      <c r="I24" s="1113"/>
      <c r="J24" s="332">
        <v>981.72</v>
      </c>
      <c r="K24" s="332"/>
      <c r="L24" s="235"/>
      <c r="M24" s="43"/>
      <c r="N24" s="151"/>
      <c r="O24" s="186"/>
      <c r="P24" s="2"/>
      <c r="Q24" s="23"/>
      <c r="R24" s="23"/>
    </row>
    <row r="25" spans="1:18" ht="18" customHeight="1">
      <c r="A25" s="1011" t="s">
        <v>667</v>
      </c>
      <c r="B25" s="1090" t="s">
        <v>668</v>
      </c>
      <c r="C25" s="258"/>
      <c r="D25" s="257"/>
      <c r="E25" s="281" t="s">
        <v>156</v>
      </c>
      <c r="F25" s="1089" t="s">
        <v>669</v>
      </c>
      <c r="G25" s="1402">
        <v>19</v>
      </c>
      <c r="H25" s="1403"/>
      <c r="I25" s="1404"/>
      <c r="J25" s="1042">
        <v>55438.85</v>
      </c>
      <c r="K25" s="332"/>
      <c r="L25" s="235"/>
      <c r="M25" s="43"/>
      <c r="N25" s="151"/>
      <c r="O25" s="186"/>
      <c r="P25" s="2"/>
      <c r="Q25" s="23"/>
      <c r="R25" s="23"/>
    </row>
    <row r="26" spans="1:18" ht="18" customHeight="1">
      <c r="A26" s="1011" t="s">
        <v>404</v>
      </c>
      <c r="B26" s="998" t="s">
        <v>529</v>
      </c>
      <c r="C26" s="258"/>
      <c r="D26" s="257"/>
      <c r="E26" s="782"/>
      <c r="F26" s="282" t="s">
        <v>802</v>
      </c>
      <c r="G26" s="1402">
        <v>1</v>
      </c>
      <c r="H26" s="1403"/>
      <c r="I26" s="1404"/>
      <c r="J26" s="1128">
        <f>J27+J28</f>
        <v>73600.83</v>
      </c>
      <c r="K26" s="332"/>
      <c r="L26" s="235"/>
      <c r="M26" s="43"/>
      <c r="N26" s="151"/>
      <c r="O26" s="186"/>
      <c r="P26" s="2"/>
      <c r="Q26" s="23"/>
      <c r="R26" s="23"/>
    </row>
    <row r="27" spans="1:18" ht="18" customHeight="1">
      <c r="A27" s="1011"/>
      <c r="B27" s="469" t="s">
        <v>829</v>
      </c>
      <c r="C27" s="258"/>
      <c r="D27" s="257"/>
      <c r="E27" s="325" t="s">
        <v>530</v>
      </c>
      <c r="F27" s="282" t="s">
        <v>802</v>
      </c>
      <c r="G27" s="1402">
        <v>1</v>
      </c>
      <c r="H27" s="1403"/>
      <c r="I27" s="1404"/>
      <c r="J27" s="1162">
        <f>21617.48+50440.79</f>
        <v>72058.27</v>
      </c>
      <c r="K27" s="332"/>
      <c r="L27" s="235"/>
      <c r="M27" s="43"/>
      <c r="N27" s="151"/>
      <c r="O27" s="186"/>
      <c r="P27" s="2"/>
      <c r="Q27" s="23"/>
      <c r="R27" s="23"/>
    </row>
    <row r="28" spans="1:18" ht="18" customHeight="1">
      <c r="A28" s="1011"/>
      <c r="B28" s="1058" t="s">
        <v>830</v>
      </c>
      <c r="C28" s="258"/>
      <c r="D28" s="257"/>
      <c r="E28" s="281" t="s">
        <v>17</v>
      </c>
      <c r="F28" s="282" t="s">
        <v>802</v>
      </c>
      <c r="G28" s="1402">
        <v>1</v>
      </c>
      <c r="H28" s="1403"/>
      <c r="I28" s="1404"/>
      <c r="J28" s="332">
        <v>1542.56</v>
      </c>
      <c r="K28" s="332"/>
      <c r="L28" s="235"/>
      <c r="M28" s="43"/>
      <c r="N28" s="151"/>
      <c r="O28" s="186"/>
      <c r="P28" s="2"/>
      <c r="Q28" s="23"/>
      <c r="R28" s="23"/>
    </row>
    <row r="29" spans="1:18" ht="18" customHeight="1">
      <c r="A29" s="1011" t="s">
        <v>406</v>
      </c>
      <c r="B29" s="998" t="s">
        <v>531</v>
      </c>
      <c r="C29" s="258"/>
      <c r="D29" s="257"/>
      <c r="E29" s="325"/>
      <c r="F29" s="282"/>
      <c r="G29" s="1111"/>
      <c r="H29" s="1112"/>
      <c r="I29" s="1113"/>
      <c r="J29" s="1042">
        <f>J30+J31</f>
        <v>66027.11</v>
      </c>
      <c r="K29" s="332"/>
      <c r="L29" s="235"/>
      <c r="M29" s="43"/>
      <c r="N29" s="151"/>
      <c r="O29" s="186"/>
      <c r="P29" s="2"/>
      <c r="Q29" s="23"/>
      <c r="R29" s="23"/>
    </row>
    <row r="30" spans="1:18" ht="18" customHeight="1">
      <c r="A30" s="1011"/>
      <c r="B30" s="469" t="s">
        <v>829</v>
      </c>
      <c r="C30" s="258"/>
      <c r="D30" s="257"/>
      <c r="E30" s="325" t="s">
        <v>530</v>
      </c>
      <c r="F30" s="282" t="s">
        <v>802</v>
      </c>
      <c r="G30" s="1402">
        <v>1</v>
      </c>
      <c r="H30" s="1403"/>
      <c r="I30" s="1404"/>
      <c r="J30" s="332">
        <f>19387.49+45237.47</f>
        <v>64624.96000000001</v>
      </c>
      <c r="K30" s="332"/>
      <c r="L30" s="235"/>
      <c r="M30" s="43"/>
      <c r="N30" s="151"/>
      <c r="O30" s="186"/>
      <c r="P30" s="2"/>
      <c r="Q30" s="23"/>
      <c r="R30" s="23"/>
    </row>
    <row r="31" spans="1:18" ht="18" customHeight="1">
      <c r="A31" s="1011"/>
      <c r="B31" s="1058" t="s">
        <v>830</v>
      </c>
      <c r="C31" s="258"/>
      <c r="D31" s="257"/>
      <c r="E31" s="281" t="s">
        <v>17</v>
      </c>
      <c r="F31" s="282" t="s">
        <v>802</v>
      </c>
      <c r="G31" s="1402">
        <v>1</v>
      </c>
      <c r="H31" s="1403"/>
      <c r="I31" s="1404"/>
      <c r="J31" s="332">
        <v>1402.15</v>
      </c>
      <c r="K31" s="332"/>
      <c r="L31" s="235"/>
      <c r="M31" s="43"/>
      <c r="N31" s="151"/>
      <c r="O31" s="186"/>
      <c r="P31" s="2"/>
      <c r="Q31" s="23"/>
      <c r="R31" s="23"/>
    </row>
    <row r="32" spans="1:18" ht="18" customHeight="1">
      <c r="A32" s="1011" t="s">
        <v>618</v>
      </c>
      <c r="B32" s="998" t="s">
        <v>532</v>
      </c>
      <c r="C32" s="258"/>
      <c r="D32" s="257"/>
      <c r="E32" s="325"/>
      <c r="F32" s="282"/>
      <c r="G32" s="1111"/>
      <c r="H32" s="1112"/>
      <c r="I32" s="1113"/>
      <c r="J32" s="1042">
        <f>J33+J34</f>
        <v>27932.920000000002</v>
      </c>
      <c r="K32" s="332"/>
      <c r="L32" s="235"/>
      <c r="M32" s="43"/>
      <c r="N32" s="151"/>
      <c r="O32" s="186"/>
      <c r="P32" s="2"/>
      <c r="Q32" s="23"/>
      <c r="R32" s="23"/>
    </row>
    <row r="33" spans="1:18" ht="18" customHeight="1">
      <c r="A33" s="1011"/>
      <c r="B33" s="469" t="s">
        <v>829</v>
      </c>
      <c r="C33" s="258"/>
      <c r="D33" s="257"/>
      <c r="E33" s="325" t="s">
        <v>530</v>
      </c>
      <c r="F33" s="282" t="s">
        <v>802</v>
      </c>
      <c r="G33" s="1402">
        <v>1</v>
      </c>
      <c r="H33" s="1403"/>
      <c r="I33" s="1404"/>
      <c r="J33" s="332">
        <f>8202.62+19139.46</f>
        <v>27342.08</v>
      </c>
      <c r="K33" s="332"/>
      <c r="L33" s="235"/>
      <c r="M33" s="43"/>
      <c r="N33" s="151"/>
      <c r="O33" s="186"/>
      <c r="P33" s="2"/>
      <c r="Q33" s="23"/>
      <c r="R33" s="23"/>
    </row>
    <row r="34" spans="1:18" ht="18" customHeight="1">
      <c r="A34" s="1011"/>
      <c r="B34" s="1058" t="s">
        <v>830</v>
      </c>
      <c r="C34" s="258"/>
      <c r="D34" s="257"/>
      <c r="E34" s="281" t="s">
        <v>17</v>
      </c>
      <c r="F34" s="282" t="s">
        <v>802</v>
      </c>
      <c r="G34" s="1402">
        <v>1</v>
      </c>
      <c r="H34" s="1403"/>
      <c r="I34" s="1404"/>
      <c r="J34" s="332">
        <v>590.84</v>
      </c>
      <c r="K34" s="332"/>
      <c r="L34" s="235"/>
      <c r="M34" s="43"/>
      <c r="N34" s="151"/>
      <c r="O34" s="186"/>
      <c r="P34" s="2"/>
      <c r="Q34" s="23"/>
      <c r="R34" s="23"/>
    </row>
    <row r="35" spans="1:18" ht="18" customHeight="1">
      <c r="A35" s="1011" t="s">
        <v>619</v>
      </c>
      <c r="B35" s="998" t="s">
        <v>533</v>
      </c>
      <c r="C35" s="258"/>
      <c r="D35" s="257"/>
      <c r="E35" s="325"/>
      <c r="F35" s="282"/>
      <c r="G35" s="1111"/>
      <c r="H35" s="1112"/>
      <c r="I35" s="1113"/>
      <c r="J35" s="1042">
        <f>J36+J37</f>
        <v>50267.26</v>
      </c>
      <c r="K35" s="332"/>
      <c r="L35" s="235"/>
      <c r="M35" s="43"/>
      <c r="N35" s="151"/>
      <c r="O35" s="186"/>
      <c r="P35" s="2"/>
      <c r="Q35" s="23"/>
      <c r="R35" s="23"/>
    </row>
    <row r="36" spans="1:18" ht="18" customHeight="1">
      <c r="A36" s="1011"/>
      <c r="B36" s="469" t="s">
        <v>829</v>
      </c>
      <c r="C36" s="258"/>
      <c r="D36" s="257"/>
      <c r="E36" s="325" t="s">
        <v>530</v>
      </c>
      <c r="F36" s="282" t="s">
        <v>802</v>
      </c>
      <c r="G36" s="1402">
        <v>1</v>
      </c>
      <c r="H36" s="1403"/>
      <c r="I36" s="1404"/>
      <c r="J36" s="332">
        <v>49201.64</v>
      </c>
      <c r="K36" s="332"/>
      <c r="L36" s="235"/>
      <c r="M36" s="43"/>
      <c r="N36" s="151"/>
      <c r="O36" s="186"/>
      <c r="P36" s="2"/>
      <c r="Q36" s="23"/>
      <c r="R36" s="23"/>
    </row>
    <row r="37" spans="1:18" ht="18" customHeight="1">
      <c r="A37" s="1011"/>
      <c r="B37" s="1058" t="s">
        <v>830</v>
      </c>
      <c r="C37" s="258"/>
      <c r="D37" s="257"/>
      <c r="E37" s="281" t="s">
        <v>17</v>
      </c>
      <c r="F37" s="282" t="s">
        <v>802</v>
      </c>
      <c r="G37" s="1402">
        <v>1</v>
      </c>
      <c r="H37" s="1403"/>
      <c r="I37" s="1404"/>
      <c r="J37" s="332">
        <v>1065.62</v>
      </c>
      <c r="K37" s="332"/>
      <c r="L37" s="235"/>
      <c r="M37" s="43"/>
      <c r="N37" s="151"/>
      <c r="O37" s="186"/>
      <c r="P37" s="2"/>
      <c r="Q37" s="23"/>
      <c r="R37" s="23"/>
    </row>
    <row r="38" spans="1:18" ht="18" customHeight="1">
      <c r="A38" s="1011" t="s">
        <v>620</v>
      </c>
      <c r="B38" s="916" t="s">
        <v>534</v>
      </c>
      <c r="C38" s="258"/>
      <c r="D38" s="257"/>
      <c r="E38" s="325"/>
      <c r="F38" s="282"/>
      <c r="G38" s="1111"/>
      <c r="H38" s="1112"/>
      <c r="I38" s="1113"/>
      <c r="J38" s="1042">
        <f>J39+J40</f>
        <v>81962.83</v>
      </c>
      <c r="K38" s="332"/>
      <c r="L38" s="235"/>
      <c r="M38" s="43"/>
      <c r="N38" s="151"/>
      <c r="O38" s="186"/>
      <c r="P38" s="2"/>
      <c r="Q38" s="23"/>
      <c r="R38" s="23"/>
    </row>
    <row r="39" spans="1:18" ht="18" customHeight="1">
      <c r="A39" s="1011"/>
      <c r="B39" s="469" t="s">
        <v>829</v>
      </c>
      <c r="C39" s="258"/>
      <c r="D39" s="257"/>
      <c r="E39" s="325" t="s">
        <v>530</v>
      </c>
      <c r="F39" s="282" t="s">
        <v>802</v>
      </c>
      <c r="G39" s="1402">
        <v>1</v>
      </c>
      <c r="H39" s="1403"/>
      <c r="I39" s="1404"/>
      <c r="J39" s="332">
        <f>24068.36+56159.5</f>
        <v>80227.86</v>
      </c>
      <c r="K39" s="332"/>
      <c r="L39" s="235"/>
      <c r="M39" s="43"/>
      <c r="N39" s="151"/>
      <c r="O39" s="186"/>
      <c r="P39" s="2"/>
      <c r="Q39" s="23"/>
      <c r="R39" s="23"/>
    </row>
    <row r="40" spans="1:18" ht="18" customHeight="1">
      <c r="A40" s="1011"/>
      <c r="B40" s="1058" t="s">
        <v>830</v>
      </c>
      <c r="C40" s="258"/>
      <c r="D40" s="257"/>
      <c r="E40" s="281" t="s">
        <v>17</v>
      </c>
      <c r="F40" s="282" t="s">
        <v>802</v>
      </c>
      <c r="G40" s="1402">
        <v>1</v>
      </c>
      <c r="H40" s="1403"/>
      <c r="I40" s="1404"/>
      <c r="J40" s="332">
        <v>1734.97</v>
      </c>
      <c r="K40" s="332"/>
      <c r="L40" s="235"/>
      <c r="M40" s="43"/>
      <c r="N40" s="151"/>
      <c r="O40" s="186"/>
      <c r="P40" s="2"/>
      <c r="Q40" s="23"/>
      <c r="R40" s="23"/>
    </row>
    <row r="41" spans="1:18" ht="18" customHeight="1">
      <c r="A41" s="1011" t="s">
        <v>625</v>
      </c>
      <c r="B41" s="998" t="s">
        <v>535</v>
      </c>
      <c r="C41" s="258"/>
      <c r="D41" s="257"/>
      <c r="E41" s="281" t="s">
        <v>156</v>
      </c>
      <c r="F41" s="282" t="s">
        <v>157</v>
      </c>
      <c r="G41" s="1402">
        <v>58</v>
      </c>
      <c r="H41" s="1403"/>
      <c r="I41" s="1404"/>
      <c r="J41" s="1042">
        <f>38361.4+89509.95</f>
        <v>127871.35</v>
      </c>
      <c r="K41" s="332"/>
      <c r="L41" s="235"/>
      <c r="M41" s="43"/>
      <c r="N41" s="151"/>
      <c r="O41" s="186"/>
      <c r="P41" s="2"/>
      <c r="Q41" s="23"/>
      <c r="R41" s="23"/>
    </row>
    <row r="42" spans="1:18" ht="18" customHeight="1">
      <c r="A42" s="1011" t="s">
        <v>626</v>
      </c>
      <c r="B42" s="998" t="s">
        <v>536</v>
      </c>
      <c r="C42" s="258"/>
      <c r="D42" s="257"/>
      <c r="E42" s="281" t="s">
        <v>156</v>
      </c>
      <c r="F42" s="282" t="s">
        <v>157</v>
      </c>
      <c r="G42" s="1402"/>
      <c r="H42" s="1403"/>
      <c r="I42" s="1404"/>
      <c r="J42" s="1042">
        <f>35520.04+82880.09</f>
        <v>118400.13</v>
      </c>
      <c r="K42" s="332"/>
      <c r="L42" s="235"/>
      <c r="M42" s="43"/>
      <c r="N42" s="151"/>
      <c r="O42" s="186"/>
      <c r="P42" s="2"/>
      <c r="Q42" s="23"/>
      <c r="R42" s="23"/>
    </row>
    <row r="43" spans="1:18" ht="18" customHeight="1">
      <c r="A43" s="1011" t="s">
        <v>627</v>
      </c>
      <c r="B43" s="998" t="s">
        <v>537</v>
      </c>
      <c r="C43" s="258"/>
      <c r="D43" s="257"/>
      <c r="E43" s="782"/>
      <c r="G43" s="1154"/>
      <c r="H43" s="1102"/>
      <c r="I43" s="1163"/>
      <c r="J43" s="383">
        <f>J44+J45</f>
        <v>75088.98</v>
      </c>
      <c r="K43" s="332"/>
      <c r="L43" s="235"/>
      <c r="M43" s="43"/>
      <c r="N43" s="151"/>
      <c r="O43" s="186"/>
      <c r="P43" s="2"/>
      <c r="Q43" s="23"/>
      <c r="R43" s="23"/>
    </row>
    <row r="44" spans="1:18" ht="18" customHeight="1">
      <c r="A44" s="1011"/>
      <c r="B44" s="469" t="s">
        <v>829</v>
      </c>
      <c r="C44" s="258"/>
      <c r="D44" s="257"/>
      <c r="E44" s="325" t="s">
        <v>538</v>
      </c>
      <c r="F44" s="282" t="s">
        <v>802</v>
      </c>
      <c r="G44" s="1402">
        <v>1</v>
      </c>
      <c r="H44" s="1403"/>
      <c r="I44" s="1404"/>
      <c r="J44" s="332">
        <f>22125.22+51625.03</f>
        <v>73750.25</v>
      </c>
      <c r="K44" s="332"/>
      <c r="L44" s="235"/>
      <c r="M44" s="43"/>
      <c r="N44" s="151"/>
      <c r="O44" s="186"/>
      <c r="P44" s="2"/>
      <c r="Q44" s="23"/>
      <c r="R44" s="23"/>
    </row>
    <row r="45" spans="1:18" ht="18" customHeight="1">
      <c r="A45" s="1011"/>
      <c r="B45" s="1058" t="s">
        <v>830</v>
      </c>
      <c r="C45" s="258"/>
      <c r="D45" s="257"/>
      <c r="E45" s="325"/>
      <c r="F45" s="282"/>
      <c r="G45" s="1111"/>
      <c r="H45" s="1112"/>
      <c r="I45" s="1113"/>
      <c r="J45" s="332">
        <v>1338.73</v>
      </c>
      <c r="K45" s="332"/>
      <c r="L45" s="235"/>
      <c r="M45" s="43"/>
      <c r="N45" s="151"/>
      <c r="O45" s="186"/>
      <c r="P45" s="2"/>
      <c r="Q45" s="23"/>
      <c r="R45" s="23"/>
    </row>
    <row r="46" spans="1:18" ht="18" customHeight="1">
      <c r="A46" s="1011" t="s">
        <v>628</v>
      </c>
      <c r="B46" s="998" t="s">
        <v>539</v>
      </c>
      <c r="C46" s="258"/>
      <c r="D46" s="257"/>
      <c r="E46" s="782"/>
      <c r="F46" s="782"/>
      <c r="G46" s="1239"/>
      <c r="H46" s="1240"/>
      <c r="I46" s="1298"/>
      <c r="J46" s="1128">
        <f>J47+J48</f>
        <v>83318.08</v>
      </c>
      <c r="K46" s="332"/>
      <c r="L46" s="235"/>
      <c r="M46" s="43"/>
      <c r="N46" s="151"/>
      <c r="O46" s="186"/>
      <c r="P46" s="2"/>
      <c r="Q46" s="23"/>
      <c r="R46" s="23"/>
    </row>
    <row r="47" spans="1:18" ht="18" customHeight="1">
      <c r="A47" s="1011"/>
      <c r="B47" s="469" t="s">
        <v>829</v>
      </c>
      <c r="C47" s="258"/>
      <c r="D47" s="257"/>
      <c r="E47" s="325" t="s">
        <v>538</v>
      </c>
      <c r="F47" s="282" t="s">
        <v>802</v>
      </c>
      <c r="G47" s="1402">
        <v>1</v>
      </c>
      <c r="H47" s="1403"/>
      <c r="I47" s="1404"/>
      <c r="J47" s="332">
        <f>24580.43+57253.74</f>
        <v>81834.17</v>
      </c>
      <c r="K47" s="332"/>
      <c r="L47" s="235"/>
      <c r="M47" s="43"/>
      <c r="N47" s="151"/>
      <c r="O47" s="186"/>
      <c r="P47" s="2"/>
      <c r="Q47" s="23"/>
      <c r="R47" s="23"/>
    </row>
    <row r="48" spans="1:18" ht="18" customHeight="1">
      <c r="A48" s="1011"/>
      <c r="B48" s="1058" t="s">
        <v>830</v>
      </c>
      <c r="C48" s="258"/>
      <c r="D48" s="257"/>
      <c r="E48" s="325"/>
      <c r="F48" s="1129"/>
      <c r="G48" s="1114"/>
      <c r="H48" s="1115"/>
      <c r="I48" s="1116"/>
      <c r="J48" s="332">
        <v>1483.91</v>
      </c>
      <c r="K48" s="332"/>
      <c r="L48" s="235"/>
      <c r="M48" s="43"/>
      <c r="N48" s="151"/>
      <c r="O48" s="186"/>
      <c r="P48" s="2"/>
      <c r="Q48" s="23"/>
      <c r="R48" s="23"/>
    </row>
    <row r="49" spans="1:18" ht="18" customHeight="1">
      <c r="A49" s="1011" t="s">
        <v>629</v>
      </c>
      <c r="B49" s="998" t="s">
        <v>630</v>
      </c>
      <c r="C49" s="258"/>
      <c r="D49" s="257"/>
      <c r="E49" s="325" t="s">
        <v>169</v>
      </c>
      <c r="F49" s="282" t="s">
        <v>802</v>
      </c>
      <c r="G49" s="1402">
        <v>1</v>
      </c>
      <c r="H49" s="1403"/>
      <c r="I49" s="1404"/>
      <c r="J49" s="1042">
        <v>4353.48</v>
      </c>
      <c r="K49" s="332"/>
      <c r="L49" s="235"/>
      <c r="M49" s="43"/>
      <c r="N49" s="151"/>
      <c r="O49" s="186"/>
      <c r="P49" s="2"/>
      <c r="Q49" s="23"/>
      <c r="R49" s="23"/>
    </row>
    <row r="50" spans="1:18" ht="18" customHeight="1">
      <c r="A50" s="1011" t="s">
        <v>631</v>
      </c>
      <c r="B50" s="998" t="s">
        <v>632</v>
      </c>
      <c r="C50" s="258"/>
      <c r="D50" s="257"/>
      <c r="E50" s="782"/>
      <c r="F50" s="782"/>
      <c r="J50" s="383">
        <f>J51+J52</f>
        <v>45501.31</v>
      </c>
      <c r="K50" s="332"/>
      <c r="L50" s="235"/>
      <c r="M50" s="43"/>
      <c r="N50" s="151"/>
      <c r="O50" s="186"/>
      <c r="P50" s="2"/>
      <c r="Q50" s="23"/>
      <c r="R50" s="23"/>
    </row>
    <row r="51" spans="1:18" ht="18" customHeight="1">
      <c r="A51" s="1011"/>
      <c r="B51" s="469" t="s">
        <v>829</v>
      </c>
      <c r="C51" s="258"/>
      <c r="D51" s="257"/>
      <c r="E51" s="325" t="s">
        <v>530</v>
      </c>
      <c r="F51" s="282" t="s">
        <v>802</v>
      </c>
      <c r="G51" s="1402">
        <v>1</v>
      </c>
      <c r="H51" s="1403"/>
      <c r="I51" s="1404"/>
      <c r="J51" s="332">
        <v>44531.38</v>
      </c>
      <c r="K51" s="332"/>
      <c r="L51" s="235"/>
      <c r="M51" s="43"/>
      <c r="N51" s="151"/>
      <c r="O51" s="186"/>
      <c r="P51" s="2"/>
      <c r="Q51" s="23"/>
      <c r="R51" s="23"/>
    </row>
    <row r="52" spans="1:18" ht="18" customHeight="1">
      <c r="A52" s="1011"/>
      <c r="B52" s="1058" t="s">
        <v>830</v>
      </c>
      <c r="C52" s="258"/>
      <c r="D52" s="257"/>
      <c r="E52" s="325"/>
      <c r="F52" s="1129"/>
      <c r="G52" s="1114"/>
      <c r="H52" s="1115"/>
      <c r="I52" s="1116"/>
      <c r="J52" s="332">
        <v>969.93</v>
      </c>
      <c r="K52" s="332"/>
      <c r="L52" s="235"/>
      <c r="M52" s="43"/>
      <c r="N52" s="151"/>
      <c r="O52" s="186"/>
      <c r="P52" s="2"/>
      <c r="Q52" s="23"/>
      <c r="R52" s="23"/>
    </row>
    <row r="53" spans="1:18" ht="25.5" customHeight="1">
      <c r="A53" s="1011">
        <v>2</v>
      </c>
      <c r="B53" s="998" t="s">
        <v>205</v>
      </c>
      <c r="C53" s="258">
        <v>100101</v>
      </c>
      <c r="D53" s="257">
        <v>3132</v>
      </c>
      <c r="E53" s="257"/>
      <c r="F53" s="999"/>
      <c r="G53" s="1436">
        <v>3</v>
      </c>
      <c r="H53" s="1437"/>
      <c r="I53" s="1438"/>
      <c r="J53" s="235">
        <f>J54+J59+J64</f>
        <v>272116.89999999997</v>
      </c>
      <c r="K53" s="235"/>
      <c r="L53" s="235"/>
      <c r="M53" s="499"/>
      <c r="N53" s="45"/>
      <c r="O53" s="8"/>
      <c r="P53" s="553"/>
      <c r="Q53" s="23"/>
      <c r="R53" s="23"/>
    </row>
    <row r="54" spans="1:18" ht="20.25" customHeight="1">
      <c r="A54" s="620" t="s">
        <v>158</v>
      </c>
      <c r="B54" s="843" t="s">
        <v>40</v>
      </c>
      <c r="C54" s="327"/>
      <c r="D54" s="326"/>
      <c r="E54" s="1010"/>
      <c r="F54" s="528" t="s">
        <v>713</v>
      </c>
      <c r="G54" s="1433">
        <v>1</v>
      </c>
      <c r="H54" s="1434"/>
      <c r="I54" s="1435"/>
      <c r="J54" s="360">
        <f>J55+J57+J58</f>
        <v>81117.23999999999</v>
      </c>
      <c r="K54" s="360"/>
      <c r="L54" s="329"/>
      <c r="M54" s="499"/>
      <c r="N54" s="1413"/>
      <c r="O54" s="141"/>
      <c r="P54" s="2"/>
      <c r="Q54" s="23"/>
      <c r="R54" s="23"/>
    </row>
    <row r="55" spans="1:18" ht="15.75" customHeight="1">
      <c r="A55" s="620"/>
      <c r="B55" s="469" t="s">
        <v>829</v>
      </c>
      <c r="C55" s="254"/>
      <c r="D55" s="277"/>
      <c r="E55" s="281" t="s">
        <v>10</v>
      </c>
      <c r="F55" s="282" t="s">
        <v>713</v>
      </c>
      <c r="G55" s="1368">
        <v>1</v>
      </c>
      <c r="H55" s="1369"/>
      <c r="I55" s="1370"/>
      <c r="J55" s="316">
        <f>82199.26-3444.35</f>
        <v>78754.90999999999</v>
      </c>
      <c r="K55" s="316"/>
      <c r="L55" s="234"/>
      <c r="M55" s="499"/>
      <c r="N55" s="1413"/>
      <c r="O55" s="23"/>
      <c r="P55" s="4"/>
      <c r="Q55" s="23"/>
      <c r="R55" s="23"/>
    </row>
    <row r="56" spans="1:18" ht="16.5" customHeight="1" hidden="1">
      <c r="A56" s="621"/>
      <c r="B56" s="470" t="s">
        <v>830</v>
      </c>
      <c r="C56" s="327"/>
      <c r="D56" s="519"/>
      <c r="E56" s="281" t="s">
        <v>11</v>
      </c>
      <c r="F56" s="282" t="s">
        <v>802</v>
      </c>
      <c r="G56" s="1368">
        <v>1</v>
      </c>
      <c r="H56" s="1369"/>
      <c r="I56" s="1370"/>
      <c r="J56" s="1173"/>
      <c r="K56" s="521"/>
      <c r="L56" s="329"/>
      <c r="M56" s="499"/>
      <c r="N56" s="1413"/>
      <c r="O56" s="23"/>
      <c r="P56" s="226"/>
      <c r="Q56" s="23"/>
      <c r="R56" s="23"/>
    </row>
    <row r="57" spans="1:18" ht="17.25" customHeight="1">
      <c r="A57" s="621"/>
      <c r="B57" s="523" t="s">
        <v>9</v>
      </c>
      <c r="C57" s="254"/>
      <c r="D57" s="277"/>
      <c r="E57" s="273" t="s">
        <v>176</v>
      </c>
      <c r="F57" s="282" t="s">
        <v>802</v>
      </c>
      <c r="G57" s="1368">
        <v>1</v>
      </c>
      <c r="H57" s="1369"/>
      <c r="I57" s="1370"/>
      <c r="J57" s="256">
        <v>745.5</v>
      </c>
      <c r="K57" s="256"/>
      <c r="L57" s="234"/>
      <c r="M57" s="499"/>
      <c r="N57" s="1413"/>
      <c r="O57" s="186"/>
      <c r="P57" s="2"/>
      <c r="Q57" s="23"/>
      <c r="R57" s="23"/>
    </row>
    <row r="58" spans="1:18" ht="17.25" customHeight="1">
      <c r="A58" s="620"/>
      <c r="B58" s="1058" t="s">
        <v>830</v>
      </c>
      <c r="C58" s="254"/>
      <c r="D58" s="277"/>
      <c r="E58" s="281" t="s">
        <v>17</v>
      </c>
      <c r="F58" s="282" t="s">
        <v>802</v>
      </c>
      <c r="G58" s="1243">
        <v>1</v>
      </c>
      <c r="H58" s="1243"/>
      <c r="I58" s="1243"/>
      <c r="J58" s="272">
        <v>1616.83</v>
      </c>
      <c r="K58" s="272"/>
      <c r="L58" s="234"/>
      <c r="M58" s="499"/>
      <c r="N58" s="1413"/>
      <c r="O58" s="186"/>
      <c r="P58" s="2"/>
      <c r="Q58" s="23"/>
      <c r="R58" s="23"/>
    </row>
    <row r="59" spans="1:18" ht="17.25" customHeight="1">
      <c r="A59" s="622" t="s">
        <v>884</v>
      </c>
      <c r="B59" s="473" t="s">
        <v>41</v>
      </c>
      <c r="C59" s="254"/>
      <c r="D59" s="255"/>
      <c r="E59" s="255"/>
      <c r="F59" s="280" t="s">
        <v>713</v>
      </c>
      <c r="G59" s="1426">
        <v>1</v>
      </c>
      <c r="H59" s="1426"/>
      <c r="I59" s="1426"/>
      <c r="J59" s="360">
        <f>J60+J61+J62+J63</f>
        <v>98039.66999999998</v>
      </c>
      <c r="K59" s="360"/>
      <c r="L59" s="234"/>
      <c r="M59" s="499"/>
      <c r="N59" s="1413"/>
      <c r="O59" s="23"/>
      <c r="P59" s="2"/>
      <c r="Q59" s="23"/>
      <c r="R59" s="23"/>
    </row>
    <row r="60" spans="1:18" ht="18" customHeight="1">
      <c r="A60" s="621"/>
      <c r="B60" s="469" t="s">
        <v>829</v>
      </c>
      <c r="C60" s="254"/>
      <c r="D60" s="277"/>
      <c r="E60" s="281" t="s">
        <v>10</v>
      </c>
      <c r="F60" s="520" t="s">
        <v>713</v>
      </c>
      <c r="G60" s="1368">
        <v>1</v>
      </c>
      <c r="H60" s="1369"/>
      <c r="I60" s="1370"/>
      <c r="J60" s="256">
        <f>84493.18+10845.84</f>
        <v>95339.01999999999</v>
      </c>
      <c r="K60" s="256"/>
      <c r="L60" s="234"/>
      <c r="M60" s="499"/>
      <c r="N60" s="1413"/>
      <c r="O60" s="23"/>
      <c r="P60" s="500"/>
      <c r="Q60" s="23"/>
      <c r="R60" s="23"/>
    </row>
    <row r="61" spans="1:18" ht="0.75" customHeight="1" hidden="1">
      <c r="A61" s="621"/>
      <c r="B61" s="469" t="s">
        <v>830</v>
      </c>
      <c r="C61" s="254"/>
      <c r="D61" s="277"/>
      <c r="E61" s="281" t="s">
        <v>11</v>
      </c>
      <c r="F61" s="282" t="s">
        <v>802</v>
      </c>
      <c r="G61" s="1368">
        <v>1</v>
      </c>
      <c r="H61" s="1369"/>
      <c r="I61" s="1370"/>
      <c r="J61" s="1174"/>
      <c r="K61" s="256"/>
      <c r="L61" s="234"/>
      <c r="M61" s="499"/>
      <c r="N61" s="1413"/>
      <c r="O61" s="23"/>
      <c r="P61" s="2"/>
      <c r="Q61" s="23"/>
      <c r="R61" s="23"/>
    </row>
    <row r="62" spans="1:18" ht="14.25" customHeight="1">
      <c r="A62" s="620"/>
      <c r="B62" s="1058" t="s">
        <v>9</v>
      </c>
      <c r="C62" s="254"/>
      <c r="D62" s="277"/>
      <c r="E62" s="273" t="s">
        <v>176</v>
      </c>
      <c r="F62" s="282" t="s">
        <v>802</v>
      </c>
      <c r="G62" s="1368">
        <v>1</v>
      </c>
      <c r="H62" s="1369"/>
      <c r="I62" s="1370"/>
      <c r="J62" s="256">
        <v>745.5</v>
      </c>
      <c r="K62" s="256"/>
      <c r="L62" s="234"/>
      <c r="M62" s="499"/>
      <c r="N62" s="1413"/>
      <c r="O62" s="23"/>
      <c r="P62" s="2"/>
      <c r="Q62" s="23"/>
      <c r="R62" s="23"/>
    </row>
    <row r="63" spans="1:18" ht="14.25" customHeight="1">
      <c r="A63" s="621"/>
      <c r="B63" s="522" t="s">
        <v>830</v>
      </c>
      <c r="C63" s="254"/>
      <c r="D63" s="277"/>
      <c r="E63" s="281" t="s">
        <v>17</v>
      </c>
      <c r="F63" s="282" t="s">
        <v>802</v>
      </c>
      <c r="G63" s="1243">
        <v>1</v>
      </c>
      <c r="H63" s="1243"/>
      <c r="I63" s="1243"/>
      <c r="J63" s="272">
        <v>1955.15</v>
      </c>
      <c r="K63" s="272"/>
      <c r="L63" s="234"/>
      <c r="M63" s="499"/>
      <c r="N63" s="1413"/>
      <c r="O63" s="23"/>
      <c r="P63" s="2"/>
      <c r="Q63" s="23"/>
      <c r="R63" s="23"/>
    </row>
    <row r="64" spans="1:18" ht="17.25" customHeight="1">
      <c r="A64" s="620" t="s">
        <v>403</v>
      </c>
      <c r="B64" s="473" t="s">
        <v>195</v>
      </c>
      <c r="C64" s="254"/>
      <c r="D64" s="277"/>
      <c r="E64" s="277"/>
      <c r="F64" s="280" t="s">
        <v>713</v>
      </c>
      <c r="G64" s="1426">
        <v>1</v>
      </c>
      <c r="H64" s="1426"/>
      <c r="I64" s="1426"/>
      <c r="J64" s="360">
        <f>J65+J66+J67</f>
        <v>92959.99</v>
      </c>
      <c r="K64" s="360"/>
      <c r="L64" s="234"/>
      <c r="M64" s="499"/>
      <c r="N64" s="1413"/>
      <c r="O64" s="23"/>
      <c r="P64" s="2"/>
      <c r="Q64" s="23"/>
      <c r="R64" s="23"/>
    </row>
    <row r="65" spans="1:18" ht="17.25" customHeight="1">
      <c r="A65" s="621"/>
      <c r="B65" s="469" t="s">
        <v>829</v>
      </c>
      <c r="C65" s="254"/>
      <c r="D65" s="277"/>
      <c r="E65" s="281" t="s">
        <v>10</v>
      </c>
      <c r="F65" s="282" t="s">
        <v>713</v>
      </c>
      <c r="G65" s="1451">
        <v>1</v>
      </c>
      <c r="H65" s="1451"/>
      <c r="I65" s="1451"/>
      <c r="J65" s="256">
        <f>72347.08+18023.71</f>
        <v>90370.79000000001</v>
      </c>
      <c r="K65" s="256"/>
      <c r="L65" s="234"/>
      <c r="M65" s="499"/>
      <c r="N65" s="1413"/>
      <c r="O65" s="23"/>
      <c r="P65" s="2"/>
      <c r="Q65" s="23"/>
      <c r="R65" s="23"/>
    </row>
    <row r="66" spans="1:18" ht="21" customHeight="1" thickBot="1">
      <c r="A66" s="619"/>
      <c r="B66" s="876" t="s">
        <v>830</v>
      </c>
      <c r="C66" s="258"/>
      <c r="D66" s="450"/>
      <c r="E66" s="325" t="s">
        <v>17</v>
      </c>
      <c r="F66" s="318" t="s">
        <v>802</v>
      </c>
      <c r="G66" s="1450">
        <v>1</v>
      </c>
      <c r="H66" s="1450"/>
      <c r="I66" s="1450"/>
      <c r="J66" s="332">
        <v>1843.7</v>
      </c>
      <c r="K66" s="332"/>
      <c r="L66" s="516"/>
      <c r="M66" s="765"/>
      <c r="N66" s="1413"/>
      <c r="O66" s="23"/>
      <c r="P66" s="2"/>
      <c r="Q66" s="23"/>
      <c r="R66" s="23"/>
    </row>
    <row r="67" spans="1:18" ht="21" customHeight="1" thickBot="1">
      <c r="A67" s="623"/>
      <c r="B67" s="1058" t="s">
        <v>9</v>
      </c>
      <c r="C67" s="327"/>
      <c r="D67" s="519"/>
      <c r="E67" s="273" t="s">
        <v>176</v>
      </c>
      <c r="F67" s="282" t="s">
        <v>802</v>
      </c>
      <c r="G67" s="1450">
        <v>1</v>
      </c>
      <c r="H67" s="1450"/>
      <c r="I67" s="1450"/>
      <c r="J67" s="256">
        <v>745.5</v>
      </c>
      <c r="K67" s="332"/>
      <c r="L67" s="516"/>
      <c r="M67" s="765"/>
      <c r="N67" s="1413"/>
      <c r="O67" s="23"/>
      <c r="P67" s="2"/>
      <c r="Q67" s="23"/>
      <c r="R67" s="23"/>
    </row>
    <row r="68" spans="1:18" ht="24" customHeight="1" thickBot="1">
      <c r="A68" s="798" t="s">
        <v>784</v>
      </c>
      <c r="B68" s="799" t="s">
        <v>117</v>
      </c>
      <c r="C68" s="798">
        <v>100202</v>
      </c>
      <c r="D68" s="800">
        <v>2000</v>
      </c>
      <c r="E68" s="801"/>
      <c r="F68" s="802"/>
      <c r="G68" s="1446"/>
      <c r="H68" s="1447"/>
      <c r="I68" s="1448"/>
      <c r="J68" s="803">
        <f>J69</f>
        <v>249833.63</v>
      </c>
      <c r="K68" s="1183">
        <v>249833.53</v>
      </c>
      <c r="L68" s="803"/>
      <c r="M68" s="765"/>
      <c r="N68" s="1413"/>
      <c r="O68" s="23"/>
      <c r="P68" s="2"/>
      <c r="Q68" s="23"/>
      <c r="R68" s="23"/>
    </row>
    <row r="69" spans="1:18" ht="37.5" customHeight="1">
      <c r="A69" s="624"/>
      <c r="B69" s="766" t="s">
        <v>204</v>
      </c>
      <c r="C69" s="327">
        <v>100202</v>
      </c>
      <c r="D69" s="326">
        <v>2240</v>
      </c>
      <c r="E69" s="795"/>
      <c r="F69" s="254" t="s">
        <v>234</v>
      </c>
      <c r="G69" s="1377">
        <f>G70+G74+G77+G80</f>
        <v>946</v>
      </c>
      <c r="H69" s="1378"/>
      <c r="I69" s="1379"/>
      <c r="J69" s="230">
        <f>J70+J74+J77+J80</f>
        <v>249833.63</v>
      </c>
      <c r="K69" s="234"/>
      <c r="L69" s="329"/>
      <c r="M69" s="765"/>
      <c r="N69" s="1413"/>
      <c r="O69" s="23"/>
      <c r="P69" s="2"/>
      <c r="Q69" s="23"/>
      <c r="R69" s="23"/>
    </row>
    <row r="70" spans="1:18" ht="23.25" customHeight="1">
      <c r="A70" s="777">
        <v>1</v>
      </c>
      <c r="B70" s="778" t="s">
        <v>136</v>
      </c>
      <c r="C70" s="280"/>
      <c r="D70" s="281"/>
      <c r="E70" s="782"/>
      <c r="F70" s="530" t="s">
        <v>157</v>
      </c>
      <c r="G70" s="1358">
        <f>G71</f>
        <v>295</v>
      </c>
      <c r="H70" s="1359"/>
      <c r="I70" s="1360"/>
      <c r="J70" s="796">
        <f>J71++J72+J73</f>
        <v>74632.51</v>
      </c>
      <c r="K70" s="1176"/>
      <c r="L70" s="234"/>
      <c r="M70" s="765"/>
      <c r="N70" s="23"/>
      <c r="O70" s="23"/>
      <c r="P70" s="2"/>
      <c r="Q70" s="23"/>
      <c r="R70" s="23"/>
    </row>
    <row r="71" spans="1:18" ht="15.75" customHeight="1">
      <c r="A71" s="793" t="s">
        <v>31</v>
      </c>
      <c r="B71" s="469" t="s">
        <v>829</v>
      </c>
      <c r="C71" s="280"/>
      <c r="D71" s="281"/>
      <c r="E71" s="281" t="s">
        <v>133</v>
      </c>
      <c r="F71" s="282" t="s">
        <v>157</v>
      </c>
      <c r="G71" s="1402">
        <v>295</v>
      </c>
      <c r="H71" s="1403"/>
      <c r="I71" s="1404"/>
      <c r="J71" s="495">
        <f>20487+47801</f>
        <v>68288</v>
      </c>
      <c r="K71" s="272"/>
      <c r="L71" s="234"/>
      <c r="M71" s="765"/>
      <c r="N71" s="23"/>
      <c r="O71" s="23"/>
      <c r="P71" s="2"/>
      <c r="Q71" s="23"/>
      <c r="R71" s="23"/>
    </row>
    <row r="72" spans="1:18" ht="15.75" customHeight="1">
      <c r="A72" s="777" t="s">
        <v>151</v>
      </c>
      <c r="B72" s="469" t="s">
        <v>525</v>
      </c>
      <c r="C72" s="280"/>
      <c r="D72" s="281"/>
      <c r="E72" s="281" t="s">
        <v>133</v>
      </c>
      <c r="F72" s="282" t="s">
        <v>713</v>
      </c>
      <c r="G72" s="1402">
        <v>1</v>
      </c>
      <c r="H72" s="1403"/>
      <c r="I72" s="1404"/>
      <c r="J72" s="1091">
        <v>5038.51</v>
      </c>
      <c r="K72" s="332"/>
      <c r="L72" s="235"/>
      <c r="M72" s="765"/>
      <c r="N72" s="23"/>
      <c r="O72" s="23"/>
      <c r="P72" s="2"/>
      <c r="Q72" s="23"/>
      <c r="R72" s="23"/>
    </row>
    <row r="73" spans="1:18" ht="15.75" customHeight="1">
      <c r="A73" s="1161" t="s">
        <v>161</v>
      </c>
      <c r="B73" s="876" t="s">
        <v>830</v>
      </c>
      <c r="C73" s="280"/>
      <c r="D73" s="281"/>
      <c r="E73" s="281" t="s">
        <v>17</v>
      </c>
      <c r="F73" s="282"/>
      <c r="G73" s="1402"/>
      <c r="H73" s="1403"/>
      <c r="I73" s="1404"/>
      <c r="J73" s="1091">
        <v>1306</v>
      </c>
      <c r="K73" s="332"/>
      <c r="L73" s="235"/>
      <c r="M73" s="765"/>
      <c r="N73" s="23"/>
      <c r="O73" s="23"/>
      <c r="P73" s="2"/>
      <c r="Q73" s="23"/>
      <c r="R73" s="23"/>
    </row>
    <row r="74" spans="1:18" ht="16.5" customHeight="1">
      <c r="A74" s="794">
        <v>2</v>
      </c>
      <c r="B74" s="778" t="s">
        <v>137</v>
      </c>
      <c r="C74" s="280"/>
      <c r="D74" s="281"/>
      <c r="E74" s="782"/>
      <c r="F74" s="530" t="s">
        <v>157</v>
      </c>
      <c r="G74" s="1353">
        <v>199</v>
      </c>
      <c r="H74" s="1261"/>
      <c r="I74" s="1262"/>
      <c r="J74" s="797">
        <f>J75+J76</f>
        <v>61115.979999999996</v>
      </c>
      <c r="K74" s="1108"/>
      <c r="L74" s="235"/>
      <c r="M74" s="765"/>
      <c r="N74" s="23"/>
      <c r="O74" s="23"/>
      <c r="P74" s="2"/>
      <c r="Q74" s="23"/>
      <c r="R74" s="23"/>
    </row>
    <row r="75" spans="1:18" ht="15" customHeight="1">
      <c r="A75" s="874" t="s">
        <v>158</v>
      </c>
      <c r="B75" s="469" t="s">
        <v>829</v>
      </c>
      <c r="C75" s="782"/>
      <c r="D75" s="782"/>
      <c r="E75" s="281" t="s">
        <v>133</v>
      </c>
      <c r="F75" s="282" t="s">
        <v>157</v>
      </c>
      <c r="G75" s="1449">
        <v>199</v>
      </c>
      <c r="H75" s="1449"/>
      <c r="I75" s="1449"/>
      <c r="J75" s="272">
        <v>59899.03</v>
      </c>
      <c r="K75" s="272"/>
      <c r="L75" s="234"/>
      <c r="M75" s="765"/>
      <c r="N75" s="23"/>
      <c r="O75" s="23"/>
      <c r="P75" s="2"/>
      <c r="Q75" s="23"/>
      <c r="R75" s="23"/>
    </row>
    <row r="76" spans="1:18" ht="15" customHeight="1">
      <c r="A76" s="777" t="s">
        <v>884</v>
      </c>
      <c r="B76" s="876" t="s">
        <v>830</v>
      </c>
      <c r="C76" s="782"/>
      <c r="D76" s="782"/>
      <c r="E76" s="281" t="s">
        <v>17</v>
      </c>
      <c r="F76" s="282"/>
      <c r="G76" s="1402"/>
      <c r="H76" s="1403"/>
      <c r="I76" s="1404"/>
      <c r="J76" s="272">
        <v>1216.95</v>
      </c>
      <c r="K76" s="272"/>
      <c r="L76" s="234"/>
      <c r="M76" s="765"/>
      <c r="N76" s="23"/>
      <c r="O76" s="23"/>
      <c r="P76" s="2"/>
      <c r="Q76" s="23"/>
      <c r="R76" s="23"/>
    </row>
    <row r="77" spans="1:18" ht="25.5" customHeight="1">
      <c r="A77" s="794">
        <v>3</v>
      </c>
      <c r="B77" s="778" t="s">
        <v>233</v>
      </c>
      <c r="C77" s="782"/>
      <c r="D77" s="782"/>
      <c r="E77" s="281"/>
      <c r="F77" s="530" t="s">
        <v>157</v>
      </c>
      <c r="G77" s="1353">
        <v>219</v>
      </c>
      <c r="H77" s="1261"/>
      <c r="I77" s="1262"/>
      <c r="J77" s="234">
        <f>J78+J79</f>
        <v>66364.34</v>
      </c>
      <c r="K77" s="234"/>
      <c r="L77" s="234"/>
      <c r="M77" s="765"/>
      <c r="N77" s="23"/>
      <c r="O77" s="23"/>
      <c r="P77" s="2"/>
      <c r="Q77" s="23"/>
      <c r="R77" s="23"/>
    </row>
    <row r="78" spans="1:18" ht="16.5" customHeight="1">
      <c r="A78" s="1019" t="s">
        <v>159</v>
      </c>
      <c r="B78" s="469" t="s">
        <v>829</v>
      </c>
      <c r="C78" s="782"/>
      <c r="D78" s="782"/>
      <c r="E78" s="281" t="s">
        <v>133</v>
      </c>
      <c r="F78" s="282" t="s">
        <v>157</v>
      </c>
      <c r="G78" s="1449">
        <v>219</v>
      </c>
      <c r="H78" s="1449"/>
      <c r="I78" s="1449"/>
      <c r="J78" s="384">
        <v>65206.19</v>
      </c>
      <c r="K78" s="384"/>
      <c r="L78" s="782"/>
      <c r="M78" s="765"/>
      <c r="N78" s="103"/>
      <c r="O78" s="151"/>
      <c r="P78" s="2"/>
      <c r="Q78" s="23"/>
      <c r="R78" s="23"/>
    </row>
    <row r="79" spans="1:18" ht="15" customHeight="1">
      <c r="A79" s="1130" t="s">
        <v>898</v>
      </c>
      <c r="B79" s="876" t="s">
        <v>830</v>
      </c>
      <c r="C79" s="782"/>
      <c r="D79" s="782"/>
      <c r="E79" s="281" t="s">
        <v>17</v>
      </c>
      <c r="F79" s="282"/>
      <c r="G79" s="1402"/>
      <c r="H79" s="1403"/>
      <c r="I79" s="1404"/>
      <c r="J79" s="384">
        <v>1158.15</v>
      </c>
      <c r="K79" s="781"/>
      <c r="L79" s="1095"/>
      <c r="M79" s="1117"/>
      <c r="N79" s="103"/>
      <c r="O79" s="151"/>
      <c r="P79" s="2"/>
      <c r="Q79" s="23"/>
      <c r="R79" s="23"/>
    </row>
    <row r="80" spans="1:18" ht="14.25" customHeight="1">
      <c r="A80" s="1019">
        <v>4</v>
      </c>
      <c r="B80" s="778" t="s">
        <v>540</v>
      </c>
      <c r="C80" s="782"/>
      <c r="D80" s="782"/>
      <c r="F80" s="782"/>
      <c r="G80" s="1239">
        <v>233</v>
      </c>
      <c r="H80" s="1240"/>
      <c r="I80" s="1298"/>
      <c r="J80" s="383">
        <f>J81+J82</f>
        <v>47720.8</v>
      </c>
      <c r="K80" s="384"/>
      <c r="L80" s="782"/>
      <c r="M80" s="1117"/>
      <c r="N80" s="103"/>
      <c r="O80" s="151"/>
      <c r="P80" s="2"/>
      <c r="Q80" s="23"/>
      <c r="R80" s="23"/>
    </row>
    <row r="81" spans="1:18" ht="15.75" customHeight="1">
      <c r="A81" s="1019" t="s">
        <v>899</v>
      </c>
      <c r="B81" s="469" t="s">
        <v>829</v>
      </c>
      <c r="C81" s="782"/>
      <c r="D81" s="782"/>
      <c r="E81" s="281" t="s">
        <v>133</v>
      </c>
      <c r="F81" s="282" t="s">
        <v>157</v>
      </c>
      <c r="G81" s="1402">
        <v>0</v>
      </c>
      <c r="H81" s="1403"/>
      <c r="I81" s="1404"/>
      <c r="J81" s="384">
        <f>13220+30846.9+2765.6</f>
        <v>46832.5</v>
      </c>
      <c r="K81" s="384"/>
      <c r="L81" s="1045"/>
      <c r="M81" s="1117"/>
      <c r="N81" s="103"/>
      <c r="O81" s="151"/>
      <c r="P81" s="2"/>
      <c r="Q81" s="23"/>
      <c r="R81" s="23"/>
    </row>
    <row r="82" spans="1:18" ht="15" customHeight="1">
      <c r="A82" s="1019" t="s">
        <v>900</v>
      </c>
      <c r="B82" s="876" t="s">
        <v>830</v>
      </c>
      <c r="C82" s="782"/>
      <c r="D82" s="782"/>
      <c r="E82" s="281"/>
      <c r="F82" s="1164"/>
      <c r="G82" s="1402"/>
      <c r="H82" s="1403"/>
      <c r="I82" s="1404"/>
      <c r="J82" s="384">
        <v>888.3</v>
      </c>
      <c r="K82" s="384"/>
      <c r="L82" s="1045"/>
      <c r="M82" s="1117"/>
      <c r="N82" s="103"/>
      <c r="O82" s="151"/>
      <c r="P82" s="2"/>
      <c r="Q82" s="23"/>
      <c r="R82" s="23"/>
    </row>
    <row r="83" spans="1:18" ht="28.5" customHeight="1" thickBot="1">
      <c r="A83" s="1020" t="s">
        <v>118</v>
      </c>
      <c r="B83" s="813" t="s">
        <v>46</v>
      </c>
      <c r="C83" s="810">
        <v>100203</v>
      </c>
      <c r="D83" s="811">
        <v>2000</v>
      </c>
      <c r="E83" s="805"/>
      <c r="F83" s="806"/>
      <c r="G83" s="807"/>
      <c r="H83" s="808"/>
      <c r="I83" s="808"/>
      <c r="J83" s="809">
        <f>J84+J90+J94+J97+J100+J104+J107+J108+J193+J290+J315+J341+J344</f>
        <v>6585467.740000001</v>
      </c>
      <c r="K83" s="1185">
        <v>6585468.15</v>
      </c>
      <c r="L83" s="1177"/>
      <c r="M83" s="780"/>
      <c r="N83" s="103"/>
      <c r="O83" s="23"/>
      <c r="P83" s="500"/>
      <c r="Q83" s="23"/>
      <c r="R83" s="23"/>
    </row>
    <row r="84" spans="1:18" ht="19.5" customHeight="1">
      <c r="A84" s="260">
        <v>1</v>
      </c>
      <c r="B84" s="456" t="s">
        <v>203</v>
      </c>
      <c r="C84" s="258">
        <v>100203</v>
      </c>
      <c r="D84" s="257">
        <v>2210</v>
      </c>
      <c r="E84" s="839"/>
      <c r="F84" s="839"/>
      <c r="G84" s="1440"/>
      <c r="H84" s="1441"/>
      <c r="I84" s="1442"/>
      <c r="J84" s="840">
        <f>J85+J86+J87+J88</f>
        <v>51950</v>
      </c>
      <c r="K84" s="1184"/>
      <c r="L84" s="236"/>
      <c r="M84" s="780"/>
      <c r="N84" s="103"/>
      <c r="O84" s="23"/>
      <c r="P84" s="4"/>
      <c r="Q84" s="23"/>
      <c r="R84" s="23"/>
    </row>
    <row r="85" spans="1:18" ht="19.5" customHeight="1">
      <c r="A85" s="874" t="s">
        <v>31</v>
      </c>
      <c r="B85" s="837" t="s">
        <v>170</v>
      </c>
      <c r="C85" s="447"/>
      <c r="D85" s="325"/>
      <c r="E85" s="650" t="s">
        <v>783</v>
      </c>
      <c r="F85" s="838" t="s">
        <v>381</v>
      </c>
      <c r="G85" s="1283">
        <v>6</v>
      </c>
      <c r="H85" s="1284"/>
      <c r="I85" s="1285"/>
      <c r="J85" s="332">
        <v>6000</v>
      </c>
      <c r="K85" s="272"/>
      <c r="L85" s="332"/>
      <c r="M85" s="780"/>
      <c r="N85" s="23"/>
      <c r="O85" s="23"/>
      <c r="P85" s="4"/>
      <c r="Q85" s="45"/>
      <c r="R85" s="23"/>
    </row>
    <row r="86" spans="1:18" ht="19.5" customHeight="1">
      <c r="A86" s="794" t="s">
        <v>151</v>
      </c>
      <c r="B86" s="837" t="s">
        <v>168</v>
      </c>
      <c r="C86" s="258"/>
      <c r="D86" s="257"/>
      <c r="E86" s="650" t="s">
        <v>169</v>
      </c>
      <c r="F86" s="838" t="s">
        <v>713</v>
      </c>
      <c r="G86" s="1258">
        <v>15</v>
      </c>
      <c r="H86" s="1259"/>
      <c r="I86" s="1248"/>
      <c r="J86" s="332">
        <v>25950</v>
      </c>
      <c r="K86" s="332"/>
      <c r="L86" s="650"/>
      <c r="M86" s="780"/>
      <c r="N86" s="26"/>
      <c r="O86" s="40"/>
      <c r="P86" s="4"/>
      <c r="Q86" s="23"/>
      <c r="R86" s="23"/>
    </row>
    <row r="87" spans="1:18" ht="19.5" customHeight="1">
      <c r="A87" s="1160" t="s">
        <v>161</v>
      </c>
      <c r="B87" s="1156" t="s">
        <v>616</v>
      </c>
      <c r="C87" s="327"/>
      <c r="D87" s="326"/>
      <c r="E87" s="677"/>
      <c r="F87" s="1157" t="s">
        <v>601</v>
      </c>
      <c r="G87" s="1258">
        <v>500</v>
      </c>
      <c r="H87" s="1259"/>
      <c r="I87" s="1248"/>
      <c r="J87" s="316">
        <v>10700</v>
      </c>
      <c r="K87" s="316"/>
      <c r="L87" s="677"/>
      <c r="M87" s="780"/>
      <c r="N87" s="26"/>
      <c r="O87" s="40"/>
      <c r="P87" s="4"/>
      <c r="Q87" s="23"/>
      <c r="R87" s="23"/>
    </row>
    <row r="88" spans="1:47" s="1102" customFormat="1" ht="19.5" customHeight="1">
      <c r="A88" s="1161" t="s">
        <v>497</v>
      </c>
      <c r="B88" s="790" t="s">
        <v>617</v>
      </c>
      <c r="C88" s="254"/>
      <c r="D88" s="255"/>
      <c r="E88" s="317"/>
      <c r="F88" s="1158" t="s">
        <v>713</v>
      </c>
      <c r="G88" s="1258"/>
      <c r="H88" s="1259"/>
      <c r="I88" s="1248"/>
      <c r="J88" s="272">
        <v>9300</v>
      </c>
      <c r="K88" s="272"/>
      <c r="L88" s="317"/>
      <c r="M88" s="1159"/>
      <c r="N88" s="26"/>
      <c r="O88" s="40"/>
      <c r="P88" s="4"/>
      <c r="Q88" s="23"/>
      <c r="R88" s="23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18" ht="22.5" customHeight="1">
      <c r="A89" s="794"/>
      <c r="B89" s="1055" t="s">
        <v>422</v>
      </c>
      <c r="C89" s="836"/>
      <c r="D89" s="649"/>
      <c r="E89" s="650"/>
      <c r="F89" s="838"/>
      <c r="G89" s="1258"/>
      <c r="H89" s="1259"/>
      <c r="I89" s="1248"/>
      <c r="J89" s="1042">
        <f>J90+J94+J97+J100+J103+J108+J193+J290+J315+J341+J344</f>
        <v>6533517.740000001</v>
      </c>
      <c r="K89" s="1042"/>
      <c r="L89" s="650"/>
      <c r="M89" s="780"/>
      <c r="N89" s="25"/>
      <c r="O89" s="40"/>
      <c r="P89" s="2"/>
      <c r="Q89" s="23"/>
      <c r="R89" s="23"/>
    </row>
    <row r="90" spans="1:18" ht="19.5" customHeight="1">
      <c r="A90" s="440">
        <v>2</v>
      </c>
      <c r="B90" s="456" t="s">
        <v>244</v>
      </c>
      <c r="C90" s="258">
        <v>100203</v>
      </c>
      <c r="D90" s="257">
        <v>2240</v>
      </c>
      <c r="E90" s="782"/>
      <c r="F90" s="782"/>
      <c r="G90" s="1443">
        <f>G91+G92+G93</f>
        <v>929.115</v>
      </c>
      <c r="H90" s="1444"/>
      <c r="I90" s="1445"/>
      <c r="J90" s="383">
        <f>J91+J92+J93</f>
        <v>550268.23</v>
      </c>
      <c r="K90" s="383"/>
      <c r="L90" s="236"/>
      <c r="M90" s="152"/>
      <c r="N90" s="25"/>
      <c r="O90" s="40"/>
      <c r="P90" s="2"/>
      <c r="Q90" s="23"/>
      <c r="R90" s="23"/>
    </row>
    <row r="91" spans="1:18" ht="14.25" customHeight="1">
      <c r="A91" s="440"/>
      <c r="B91" s="876" t="s">
        <v>238</v>
      </c>
      <c r="C91" s="258"/>
      <c r="D91" s="257"/>
      <c r="E91" s="878" t="s">
        <v>212</v>
      </c>
      <c r="F91" s="838" t="s">
        <v>243</v>
      </c>
      <c r="G91" s="1420">
        <v>97.205</v>
      </c>
      <c r="H91" s="1421"/>
      <c r="I91" s="1422"/>
      <c r="J91" s="332">
        <f>19080.41+3701.39+2655.53</f>
        <v>25437.329999999998</v>
      </c>
      <c r="K91" s="332"/>
      <c r="L91" s="236"/>
      <c r="M91" s="152"/>
      <c r="N91" s="25"/>
      <c r="O91" s="40"/>
      <c r="P91" s="2"/>
      <c r="Q91" s="23"/>
      <c r="R91" s="23"/>
    </row>
    <row r="92" spans="1:18" ht="15.75" customHeight="1">
      <c r="A92" s="440"/>
      <c r="B92" s="876" t="s">
        <v>239</v>
      </c>
      <c r="C92" s="258"/>
      <c r="D92" s="257"/>
      <c r="E92" s="877" t="s">
        <v>241</v>
      </c>
      <c r="F92" s="838" t="s">
        <v>242</v>
      </c>
      <c r="G92" s="1350">
        <f>82.2+61.65+117.6+97.81+246.6</f>
        <v>605.86</v>
      </c>
      <c r="H92" s="1351"/>
      <c r="I92" s="1352"/>
      <c r="J92" s="332">
        <f>58680.94+44010.7+83952.29+69824.6+176042.81</f>
        <v>432511.33999999997</v>
      </c>
      <c r="K92" s="332"/>
      <c r="L92" s="236"/>
      <c r="M92" s="152"/>
      <c r="N92" s="25"/>
      <c r="O92" s="40"/>
      <c r="P92" s="2"/>
      <c r="Q92" s="23"/>
      <c r="R92" s="23"/>
    </row>
    <row r="93" spans="1:18" ht="14.25" customHeight="1">
      <c r="A93" s="440"/>
      <c r="B93" s="876" t="s">
        <v>240</v>
      </c>
      <c r="C93" s="258"/>
      <c r="D93" s="257"/>
      <c r="E93" s="877" t="s">
        <v>241</v>
      </c>
      <c r="F93" s="838" t="s">
        <v>242</v>
      </c>
      <c r="G93" s="1350">
        <f>82.2+61.65+82.2</f>
        <v>226.05</v>
      </c>
      <c r="H93" s="1351"/>
      <c r="I93" s="1352"/>
      <c r="J93" s="332">
        <f>28631.08+21473.31+28631.08+13584.09</f>
        <v>92319.56</v>
      </c>
      <c r="K93" s="332"/>
      <c r="L93" s="236"/>
      <c r="M93" s="152"/>
      <c r="N93" s="25"/>
      <c r="O93" s="40"/>
      <c r="P93" s="2"/>
      <c r="Q93" s="23"/>
      <c r="R93" s="23"/>
    </row>
    <row r="94" spans="1:18" ht="48" customHeight="1">
      <c r="A94" s="331" t="s">
        <v>795</v>
      </c>
      <c r="B94" s="459" t="s">
        <v>25</v>
      </c>
      <c r="C94" s="257">
        <v>100203</v>
      </c>
      <c r="D94" s="258">
        <v>2240</v>
      </c>
      <c r="E94" s="841"/>
      <c r="F94" s="458"/>
      <c r="G94" s="1233">
        <f>G95+G96</f>
        <v>475217</v>
      </c>
      <c r="H94" s="1261"/>
      <c r="I94" s="1262"/>
      <c r="J94" s="565">
        <f>J95+J96</f>
        <v>553458.41</v>
      </c>
      <c r="K94" s="383"/>
      <c r="L94" s="235"/>
      <c r="M94" s="152"/>
      <c r="N94" s="25"/>
      <c r="O94" s="40"/>
      <c r="P94" s="2"/>
      <c r="Q94" s="23"/>
      <c r="R94" s="23"/>
    </row>
    <row r="95" spans="1:18" ht="14.25" customHeight="1">
      <c r="A95" s="370" t="s">
        <v>896</v>
      </c>
      <c r="B95" s="381" t="s">
        <v>904</v>
      </c>
      <c r="C95" s="281"/>
      <c r="D95" s="340"/>
      <c r="E95" s="325" t="s">
        <v>756</v>
      </c>
      <c r="F95" s="341" t="s">
        <v>711</v>
      </c>
      <c r="G95" s="1234">
        <f>38161+12577+12238</f>
        <v>62976</v>
      </c>
      <c r="H95" s="1235"/>
      <c r="I95" s="1236"/>
      <c r="J95" s="332">
        <f>46574.08+14916.83</f>
        <v>61490.91</v>
      </c>
      <c r="K95" s="332"/>
      <c r="L95" s="272"/>
      <c r="M95" s="152"/>
      <c r="N95" s="25"/>
      <c r="O95" s="40"/>
      <c r="P95" s="2"/>
      <c r="Q95" s="23"/>
      <c r="R95" s="23"/>
    </row>
    <row r="96" spans="1:18" ht="15" customHeight="1">
      <c r="A96" s="370" t="s">
        <v>898</v>
      </c>
      <c r="B96" s="382" t="s">
        <v>906</v>
      </c>
      <c r="C96" s="281"/>
      <c r="D96" s="340"/>
      <c r="E96" s="325" t="s">
        <v>756</v>
      </c>
      <c r="F96" s="341" t="s">
        <v>711</v>
      </c>
      <c r="G96" s="1423">
        <v>412241</v>
      </c>
      <c r="H96" s="1424"/>
      <c r="I96" s="1425"/>
      <c r="J96" s="532">
        <f>376242.71+66798.64+48926.15</f>
        <v>491967.50000000006</v>
      </c>
      <c r="K96" s="272"/>
      <c r="L96" s="272"/>
      <c r="M96" s="152"/>
      <c r="N96" s="25"/>
      <c r="O96" s="40"/>
      <c r="P96" s="500"/>
      <c r="Q96" s="23"/>
      <c r="R96" s="23"/>
    </row>
    <row r="97" spans="1:18" ht="25.5" customHeight="1">
      <c r="A97" s="331" t="s">
        <v>796</v>
      </c>
      <c r="B97" s="459" t="s">
        <v>916</v>
      </c>
      <c r="C97" s="255">
        <v>100203</v>
      </c>
      <c r="D97" s="254">
        <v>2240</v>
      </c>
      <c r="E97" s="458"/>
      <c r="F97" s="458"/>
      <c r="G97" s="1260">
        <f>G98+G99</f>
        <v>3423</v>
      </c>
      <c r="H97" s="1261"/>
      <c r="I97" s="1262"/>
      <c r="J97" s="565">
        <f>J98+J99+11585.8</f>
        <v>299999.88</v>
      </c>
      <c r="K97" s="383"/>
      <c r="L97" s="234"/>
      <c r="M97" s="152"/>
      <c r="N97" s="25"/>
      <c r="O97" s="40"/>
      <c r="P97" s="4"/>
      <c r="Q97" s="23"/>
      <c r="R97" s="23"/>
    </row>
    <row r="98" spans="1:18" ht="14.25" customHeight="1">
      <c r="A98" s="867" t="s">
        <v>899</v>
      </c>
      <c r="B98" s="381" t="s">
        <v>904</v>
      </c>
      <c r="C98" s="461"/>
      <c r="D98" s="461"/>
      <c r="E98" s="281" t="s">
        <v>756</v>
      </c>
      <c r="F98" s="282" t="s">
        <v>758</v>
      </c>
      <c r="G98" s="1243">
        <f>230+150</f>
        <v>380</v>
      </c>
      <c r="H98" s="1243"/>
      <c r="I98" s="1243"/>
      <c r="J98" s="272">
        <f>28801.24+20161.12</f>
        <v>48962.36</v>
      </c>
      <c r="K98" s="272"/>
      <c r="L98" s="1245"/>
      <c r="M98" s="1246"/>
      <c r="N98" s="26"/>
      <c r="O98" s="40"/>
      <c r="P98" s="23"/>
      <c r="Q98" s="23"/>
      <c r="R98" s="23"/>
    </row>
    <row r="99" spans="1:18" ht="14.25" customHeight="1">
      <c r="A99" s="867" t="s">
        <v>900</v>
      </c>
      <c r="B99" s="382" t="s">
        <v>906</v>
      </c>
      <c r="C99" s="461"/>
      <c r="D99" s="461"/>
      <c r="E99" s="325" t="s">
        <v>756</v>
      </c>
      <c r="F99" s="282" t="s">
        <v>758</v>
      </c>
      <c r="G99" s="1244">
        <v>3043</v>
      </c>
      <c r="H99" s="1245"/>
      <c r="I99" s="1246"/>
      <c r="J99" s="384">
        <f>223534.94+15916.78</f>
        <v>239451.72</v>
      </c>
      <c r="K99" s="384"/>
      <c r="L99" s="461"/>
      <c r="N99" s="31"/>
      <c r="O99" s="40"/>
      <c r="P99" s="23"/>
      <c r="Q99" s="23"/>
      <c r="R99" s="23"/>
    </row>
    <row r="100" spans="1:17" ht="23.25" customHeight="1">
      <c r="A100" s="331" t="s">
        <v>797</v>
      </c>
      <c r="B100" s="462" t="s">
        <v>202</v>
      </c>
      <c r="C100" s="255">
        <v>100203</v>
      </c>
      <c r="D100" s="254">
        <v>2240</v>
      </c>
      <c r="E100" s="458"/>
      <c r="F100" s="458"/>
      <c r="G100" s="1260">
        <f>G101+G102</f>
        <v>6621</v>
      </c>
      <c r="H100" s="1261"/>
      <c r="I100" s="1262"/>
      <c r="J100" s="565">
        <f>J101+J102</f>
        <v>285973.72000000003</v>
      </c>
      <c r="K100" s="383"/>
      <c r="L100" s="380"/>
      <c r="N100" s="25"/>
      <c r="O100" s="114"/>
      <c r="P100" s="23"/>
      <c r="Q100" s="23"/>
    </row>
    <row r="101" spans="1:17" ht="15.75" customHeight="1">
      <c r="A101" s="370" t="s">
        <v>897</v>
      </c>
      <c r="B101" s="381" t="s">
        <v>904</v>
      </c>
      <c r="C101" s="281"/>
      <c r="D101" s="340"/>
      <c r="E101" s="281" t="s">
        <v>756</v>
      </c>
      <c r="F101" s="282" t="s">
        <v>758</v>
      </c>
      <c r="G101" s="1243">
        <f>430+221</f>
        <v>651</v>
      </c>
      <c r="H101" s="1243"/>
      <c r="I101" s="1243"/>
      <c r="J101" s="272">
        <f>26986.08+13945.53</f>
        <v>40931.61</v>
      </c>
      <c r="K101" s="272"/>
      <c r="L101" s="273"/>
      <c r="N101" s="25"/>
      <c r="O101" s="40"/>
      <c r="P101" s="23"/>
      <c r="Q101" s="23"/>
    </row>
    <row r="102" spans="1:17" ht="15" customHeight="1">
      <c r="A102" s="370" t="s">
        <v>903</v>
      </c>
      <c r="B102" s="382" t="s">
        <v>906</v>
      </c>
      <c r="C102" s="281"/>
      <c r="D102" s="340"/>
      <c r="E102" s="281" t="s">
        <v>756</v>
      </c>
      <c r="F102" s="282" t="s">
        <v>758</v>
      </c>
      <c r="G102" s="1258">
        <v>5970</v>
      </c>
      <c r="H102" s="1259"/>
      <c r="I102" s="1248"/>
      <c r="J102" s="272">
        <f>152333.38+28508.79+12800.38+51399.56</f>
        <v>245042.11000000002</v>
      </c>
      <c r="K102" s="272"/>
      <c r="L102" s="273"/>
      <c r="N102" s="25"/>
      <c r="O102" s="40"/>
      <c r="P102" s="23"/>
      <c r="Q102" s="23"/>
    </row>
    <row r="103" spans="1:17" ht="36.75" customHeight="1">
      <c r="A103" s="331" t="s">
        <v>798</v>
      </c>
      <c r="B103" s="463" t="s">
        <v>948</v>
      </c>
      <c r="C103" s="257">
        <v>100203</v>
      </c>
      <c r="D103" s="258">
        <v>2240</v>
      </c>
      <c r="E103" s="458"/>
      <c r="F103" s="458"/>
      <c r="G103" s="1239"/>
      <c r="H103" s="1240"/>
      <c r="I103" s="1240"/>
      <c r="J103" s="383">
        <f>J104+J107</f>
        <v>693041.3200000001</v>
      </c>
      <c r="K103" s="1186"/>
      <c r="L103" s="380"/>
      <c r="N103" s="25"/>
      <c r="O103" s="40"/>
      <c r="P103" s="23"/>
      <c r="Q103" s="23"/>
    </row>
    <row r="104" spans="1:17" ht="18.75" customHeight="1">
      <c r="A104" s="436" t="s">
        <v>901</v>
      </c>
      <c r="B104" s="559" t="s">
        <v>47</v>
      </c>
      <c r="C104" s="325"/>
      <c r="D104" s="447"/>
      <c r="E104" s="464"/>
      <c r="F104" s="461"/>
      <c r="G104" s="1414" t="s">
        <v>649</v>
      </c>
      <c r="H104" s="1415"/>
      <c r="I104" s="1416"/>
      <c r="J104" s="565">
        <f>J105+J106</f>
        <v>465314.14</v>
      </c>
      <c r="K104" s="449"/>
      <c r="L104" s="380"/>
      <c r="N104" s="25"/>
      <c r="O104" s="40"/>
      <c r="P104" s="23"/>
      <c r="Q104" s="23"/>
    </row>
    <row r="105" spans="1:17" ht="14.25" customHeight="1">
      <c r="A105" s="370"/>
      <c r="B105" s="465" t="s">
        <v>904</v>
      </c>
      <c r="C105" s="281"/>
      <c r="D105" s="340"/>
      <c r="E105" s="325" t="s">
        <v>733</v>
      </c>
      <c r="F105" s="282" t="s">
        <v>713</v>
      </c>
      <c r="G105" s="1258" t="s">
        <v>647</v>
      </c>
      <c r="H105" s="1259"/>
      <c r="I105" s="1248"/>
      <c r="J105" s="332">
        <f>22819.81+59690.33</f>
        <v>82510.14</v>
      </c>
      <c r="K105" s="332"/>
      <c r="L105" s="380"/>
      <c r="N105" s="25"/>
      <c r="O105" s="40"/>
      <c r="P105" s="23"/>
      <c r="Q105" s="23"/>
    </row>
    <row r="106" spans="1:17" ht="13.5" customHeight="1">
      <c r="A106" s="370"/>
      <c r="B106" s="466" t="s">
        <v>906</v>
      </c>
      <c r="C106" s="281"/>
      <c r="D106" s="340"/>
      <c r="E106" s="325" t="s">
        <v>733</v>
      </c>
      <c r="F106" s="318" t="s">
        <v>713</v>
      </c>
      <c r="G106" s="1258" t="s">
        <v>648</v>
      </c>
      <c r="H106" s="1259"/>
      <c r="I106" s="1248"/>
      <c r="J106" s="332">
        <f>195924.31+79764.38+38902.31+68213</f>
        <v>382804</v>
      </c>
      <c r="K106" s="332"/>
      <c r="L106" s="380"/>
      <c r="M106" s="3"/>
      <c r="N106" s="25"/>
      <c r="O106" s="40"/>
      <c r="P106" s="23"/>
      <c r="Q106" s="23"/>
    </row>
    <row r="107" spans="1:17" ht="18" customHeight="1">
      <c r="A107" s="436" t="s">
        <v>902</v>
      </c>
      <c r="B107" s="560" t="s">
        <v>947</v>
      </c>
      <c r="C107" s="467"/>
      <c r="D107" s="467"/>
      <c r="E107" s="450" t="s">
        <v>733</v>
      </c>
      <c r="F107" s="451" t="s">
        <v>711</v>
      </c>
      <c r="G107" s="1249">
        <f>51134+43392+67914+100967+33988+15582+41323</f>
        <v>354300</v>
      </c>
      <c r="H107" s="1241"/>
      <c r="I107" s="1242"/>
      <c r="J107" s="568">
        <f>30491.11+28219.1+44189.52+65697.34+22114.74+10139.11+26876.26</f>
        <v>227727.18</v>
      </c>
      <c r="K107" s="494"/>
      <c r="L107" s="273"/>
      <c r="N107" s="25"/>
      <c r="O107" s="40"/>
      <c r="P107" s="23"/>
      <c r="Q107" s="23"/>
    </row>
    <row r="108" spans="1:17" ht="38.25" customHeight="1">
      <c r="A108" s="625" t="s">
        <v>821</v>
      </c>
      <c r="B108" s="463" t="s">
        <v>805</v>
      </c>
      <c r="C108" s="257">
        <v>100203</v>
      </c>
      <c r="D108" s="258">
        <v>2240</v>
      </c>
      <c r="E108" s="287"/>
      <c r="F108" s="373" t="s">
        <v>382</v>
      </c>
      <c r="G108" s="1193">
        <f>G109+G112+G115+G118+G121+G124+G127+G130+G133+G136+G139+G142+G148+G151+G154+G157+G160+G163+G166+G169+G172+G175+G178+G181+G184+G187+G190</f>
        <v>13951.700000000003</v>
      </c>
      <c r="H108" s="362"/>
      <c r="I108" s="1198">
        <f>I109+I112+I115+I118+I121+I124+I127+I130+I133+I136+I139+I142+I148+I151+I154+I157+I160+I163+I166+I169+I172+I175+I178+I181+I184+I187+I190</f>
        <v>430</v>
      </c>
      <c r="J108" s="235">
        <f>J109+J112+J115+J118+J121+J124+J127+J130+J133+J136+J139+J142+J148+J151+J154+J157+J160+J163+J166+J169+J172+J175+J178+J181+J184+J187+J190</f>
        <v>1699308.8599999996</v>
      </c>
      <c r="K108" s="235"/>
      <c r="L108" s="235"/>
      <c r="N108" s="25"/>
      <c r="O108" s="40"/>
      <c r="P108" s="23"/>
      <c r="Q108" s="23"/>
    </row>
    <row r="109" spans="1:17" ht="19.5" customHeight="1">
      <c r="A109" s="370" t="s">
        <v>822</v>
      </c>
      <c r="B109" s="468" t="s">
        <v>210</v>
      </c>
      <c r="C109" s="281"/>
      <c r="D109" s="340"/>
      <c r="E109" s="281"/>
      <c r="F109" s="282" t="s">
        <v>382</v>
      </c>
      <c r="G109" s="1199">
        <v>652</v>
      </c>
      <c r="H109" s="361"/>
      <c r="I109" s="1200">
        <v>17</v>
      </c>
      <c r="J109" s="360">
        <f>J110+J111</f>
        <v>62922.59</v>
      </c>
      <c r="K109" s="360"/>
      <c r="L109" s="273"/>
      <c r="N109" s="25"/>
      <c r="O109" s="86"/>
      <c r="P109" s="23"/>
      <c r="Q109" s="23"/>
    </row>
    <row r="110" spans="1:17" ht="17.25" customHeight="1">
      <c r="A110" s="504"/>
      <c r="B110" s="469" t="s">
        <v>829</v>
      </c>
      <c r="C110" s="281"/>
      <c r="D110" s="340"/>
      <c r="E110" s="281" t="s">
        <v>793</v>
      </c>
      <c r="F110" s="282" t="s">
        <v>382</v>
      </c>
      <c r="G110" s="1201">
        <v>652</v>
      </c>
      <c r="H110" s="284"/>
      <c r="I110" s="1202">
        <v>17</v>
      </c>
      <c r="J110" s="272">
        <v>62056.84</v>
      </c>
      <c r="K110" s="272"/>
      <c r="L110" s="273"/>
      <c r="M110" s="152"/>
      <c r="N110" s="25"/>
      <c r="O110" s="86"/>
      <c r="P110" s="23"/>
      <c r="Q110" s="23"/>
    </row>
    <row r="111" spans="1:17" ht="15.75" customHeight="1">
      <c r="A111" s="502"/>
      <c r="B111" s="469" t="s">
        <v>830</v>
      </c>
      <c r="C111" s="281"/>
      <c r="D111" s="340"/>
      <c r="E111" s="281" t="s">
        <v>799</v>
      </c>
      <c r="F111" s="282" t="s">
        <v>802</v>
      </c>
      <c r="G111" s="1258">
        <v>1</v>
      </c>
      <c r="H111" s="1259"/>
      <c r="I111" s="1248"/>
      <c r="J111" s="272">
        <v>865.75</v>
      </c>
      <c r="K111" s="272"/>
      <c r="L111" s="272"/>
      <c r="M111" s="152"/>
      <c r="N111" s="25"/>
      <c r="O111" s="86"/>
      <c r="P111" s="23"/>
      <c r="Q111" s="23"/>
    </row>
    <row r="112" spans="1:17" ht="20.25" customHeight="1">
      <c r="A112" s="502" t="s">
        <v>823</v>
      </c>
      <c r="B112" s="468" t="s">
        <v>211</v>
      </c>
      <c r="C112" s="281"/>
      <c r="D112" s="340"/>
      <c r="E112" s="302"/>
      <c r="F112" s="282" t="s">
        <v>382</v>
      </c>
      <c r="G112" s="1199">
        <v>407.3</v>
      </c>
      <c r="H112" s="361"/>
      <c r="I112" s="1200">
        <v>7</v>
      </c>
      <c r="J112" s="360">
        <f>J113+J114</f>
        <v>33214.91</v>
      </c>
      <c r="K112" s="360"/>
      <c r="L112" s="273"/>
      <c r="M112" s="152"/>
      <c r="N112" s="25"/>
      <c r="O112" s="86"/>
      <c r="P112" s="23"/>
      <c r="Q112" s="23"/>
    </row>
    <row r="113" spans="1:17" ht="18" customHeight="1">
      <c r="A113" s="504"/>
      <c r="B113" s="469" t="s">
        <v>829</v>
      </c>
      <c r="C113" s="281"/>
      <c r="D113" s="340"/>
      <c r="E113" s="281" t="s">
        <v>793</v>
      </c>
      <c r="F113" s="282" t="s">
        <v>382</v>
      </c>
      <c r="G113" s="1201">
        <v>407.3</v>
      </c>
      <c r="H113" s="284"/>
      <c r="I113" s="1202">
        <v>7</v>
      </c>
      <c r="J113" s="272">
        <v>32757.91</v>
      </c>
      <c r="K113" s="272"/>
      <c r="L113" s="273"/>
      <c r="M113" s="152"/>
      <c r="N113" s="25"/>
      <c r="O113" s="40"/>
      <c r="P113" s="23"/>
      <c r="Q113" s="23"/>
    </row>
    <row r="114" spans="1:17" ht="18.75" customHeight="1">
      <c r="A114" s="502"/>
      <c r="B114" s="469" t="s">
        <v>830</v>
      </c>
      <c r="C114" s="281"/>
      <c r="D114" s="340"/>
      <c r="E114" s="281" t="s">
        <v>799</v>
      </c>
      <c r="F114" s="282" t="s">
        <v>802</v>
      </c>
      <c r="G114" s="1243">
        <v>1</v>
      </c>
      <c r="H114" s="1243"/>
      <c r="I114" s="1243"/>
      <c r="J114" s="272">
        <v>457</v>
      </c>
      <c r="K114" s="272"/>
      <c r="L114" s="272"/>
      <c r="M114" s="152"/>
      <c r="N114" s="25"/>
      <c r="O114" s="40"/>
      <c r="P114" s="23"/>
      <c r="Q114" s="23"/>
    </row>
    <row r="115" spans="1:17" ht="18.75" customHeight="1">
      <c r="A115" s="370" t="s">
        <v>841</v>
      </c>
      <c r="B115" s="469" t="s">
        <v>909</v>
      </c>
      <c r="C115" s="281"/>
      <c r="D115" s="340"/>
      <c r="E115" s="281"/>
      <c r="F115" s="282" t="s">
        <v>382</v>
      </c>
      <c r="G115" s="1179">
        <f>G116</f>
        <v>394.1</v>
      </c>
      <c r="H115" s="378"/>
      <c r="I115" s="1191">
        <f>I116</f>
        <v>14</v>
      </c>
      <c r="J115" s="360">
        <f>J116+J117</f>
        <v>48518.25</v>
      </c>
      <c r="K115" s="360"/>
      <c r="L115" s="272"/>
      <c r="M115" s="152"/>
      <c r="N115" s="25"/>
      <c r="O115" s="846"/>
      <c r="P115" s="23"/>
      <c r="Q115" s="23"/>
    </row>
    <row r="116" spans="1:17" ht="18" customHeight="1">
      <c r="A116" s="504"/>
      <c r="B116" s="469" t="s">
        <v>829</v>
      </c>
      <c r="C116" s="281"/>
      <c r="D116" s="340"/>
      <c r="E116" s="281" t="s">
        <v>793</v>
      </c>
      <c r="F116" s="282" t="s">
        <v>382</v>
      </c>
      <c r="G116" s="1178">
        <v>394.1</v>
      </c>
      <c r="H116" s="285"/>
      <c r="I116" s="1192">
        <v>14</v>
      </c>
      <c r="J116" s="272">
        <v>47850.25</v>
      </c>
      <c r="K116" s="272"/>
      <c r="L116" s="272"/>
      <c r="M116" s="152"/>
      <c r="N116" s="25"/>
      <c r="O116" s="40"/>
      <c r="P116" s="23"/>
      <c r="Q116" s="23"/>
    </row>
    <row r="117" spans="1:17" ht="16.5" customHeight="1">
      <c r="A117" s="502"/>
      <c r="B117" s="469" t="s">
        <v>830</v>
      </c>
      <c r="C117" s="281"/>
      <c r="D117" s="340"/>
      <c r="E117" s="281" t="s">
        <v>799</v>
      </c>
      <c r="F117" s="282" t="s">
        <v>802</v>
      </c>
      <c r="G117" s="1243">
        <v>1</v>
      </c>
      <c r="H117" s="1243"/>
      <c r="I117" s="1243"/>
      <c r="J117" s="272">
        <v>668</v>
      </c>
      <c r="K117" s="272"/>
      <c r="L117" s="272"/>
      <c r="M117" s="152"/>
      <c r="N117" s="25"/>
      <c r="O117" s="40"/>
      <c r="P117" s="23"/>
      <c r="Q117" s="23"/>
    </row>
    <row r="118" spans="1:17" ht="18.75" customHeight="1">
      <c r="A118" s="370" t="s">
        <v>842</v>
      </c>
      <c r="B118" s="469" t="s">
        <v>910</v>
      </c>
      <c r="C118" s="281"/>
      <c r="D118" s="340"/>
      <c r="E118" s="281"/>
      <c r="F118" s="282" t="s">
        <v>382</v>
      </c>
      <c r="G118" s="1191">
        <f>G119</f>
        <v>667</v>
      </c>
      <c r="H118" s="378"/>
      <c r="I118" s="1191">
        <f>I119</f>
        <v>19</v>
      </c>
      <c r="J118" s="360">
        <f>J119+J120</f>
        <v>70389.51</v>
      </c>
      <c r="K118" s="360"/>
      <c r="L118" s="272"/>
      <c r="M118" s="152"/>
      <c r="N118" s="23"/>
      <c r="O118" s="23"/>
      <c r="P118" s="23"/>
      <c r="Q118" s="23"/>
    </row>
    <row r="119" spans="1:17" ht="18" customHeight="1">
      <c r="A119" s="504"/>
      <c r="B119" s="469" t="s">
        <v>829</v>
      </c>
      <c r="C119" s="281"/>
      <c r="D119" s="340"/>
      <c r="E119" s="281" t="s">
        <v>793</v>
      </c>
      <c r="F119" s="282" t="s">
        <v>382</v>
      </c>
      <c r="G119" s="1192">
        <v>667</v>
      </c>
      <c r="H119" s="285"/>
      <c r="I119" s="1192">
        <v>19</v>
      </c>
      <c r="J119" s="272">
        <v>69421.51</v>
      </c>
      <c r="K119" s="272"/>
      <c r="L119" s="272"/>
      <c r="M119" s="152"/>
      <c r="N119" s="99"/>
      <c r="O119" s="40"/>
      <c r="P119" s="23"/>
      <c r="Q119" s="23"/>
    </row>
    <row r="120" spans="1:17" ht="17.25" customHeight="1">
      <c r="A120" s="502"/>
      <c r="B120" s="469" t="s">
        <v>830</v>
      </c>
      <c r="C120" s="281"/>
      <c r="D120" s="340"/>
      <c r="E120" s="281" t="s">
        <v>799</v>
      </c>
      <c r="F120" s="282" t="s">
        <v>802</v>
      </c>
      <c r="G120" s="1243">
        <v>1</v>
      </c>
      <c r="H120" s="1243"/>
      <c r="I120" s="1243"/>
      <c r="J120" s="272">
        <v>968</v>
      </c>
      <c r="K120" s="272"/>
      <c r="L120" s="272"/>
      <c r="M120" s="152"/>
      <c r="N120" s="99"/>
      <c r="O120" s="40"/>
      <c r="P120" s="23"/>
      <c r="Q120" s="23"/>
    </row>
    <row r="121" spans="1:17" ht="18.75" customHeight="1">
      <c r="A121" s="370" t="s">
        <v>843</v>
      </c>
      <c r="B121" s="469" t="s">
        <v>911</v>
      </c>
      <c r="C121" s="281"/>
      <c r="D121" s="340"/>
      <c r="E121" s="281"/>
      <c r="F121" s="282" t="s">
        <v>382</v>
      </c>
      <c r="G121" s="1179">
        <f>G122</f>
        <v>637.9</v>
      </c>
      <c r="H121" s="378"/>
      <c r="I121" s="1191">
        <f>I122</f>
        <v>17</v>
      </c>
      <c r="J121" s="360">
        <f>J122+J123</f>
        <v>64900.48</v>
      </c>
      <c r="K121" s="360"/>
      <c r="L121" s="272"/>
      <c r="M121" s="152"/>
      <c r="N121" s="99"/>
      <c r="O121" s="40"/>
      <c r="P121" s="23"/>
      <c r="Q121" s="23"/>
    </row>
    <row r="122" spans="1:17" ht="17.25" customHeight="1">
      <c r="A122" s="504"/>
      <c r="B122" s="469" t="s">
        <v>829</v>
      </c>
      <c r="C122" s="281"/>
      <c r="D122" s="340"/>
      <c r="E122" s="281" t="s">
        <v>793</v>
      </c>
      <c r="F122" s="282" t="s">
        <v>382</v>
      </c>
      <c r="G122" s="1180">
        <v>637.9</v>
      </c>
      <c r="H122" s="285"/>
      <c r="I122" s="1192">
        <v>17</v>
      </c>
      <c r="J122" s="376">
        <v>64007.48</v>
      </c>
      <c r="K122" s="448"/>
      <c r="L122" s="272"/>
      <c r="M122" s="152"/>
      <c r="N122" s="25"/>
      <c r="O122" s="40"/>
      <c r="P122" s="23"/>
      <c r="Q122" s="23"/>
    </row>
    <row r="123" spans="1:17" ht="17.25" customHeight="1">
      <c r="A123" s="502"/>
      <c r="B123" s="469" t="s">
        <v>830</v>
      </c>
      <c r="C123" s="281"/>
      <c r="D123" s="340"/>
      <c r="E123" s="281" t="s">
        <v>799</v>
      </c>
      <c r="F123" s="282" t="s">
        <v>802</v>
      </c>
      <c r="G123" s="1243">
        <v>1</v>
      </c>
      <c r="H123" s="1243"/>
      <c r="I123" s="1243"/>
      <c r="J123" s="272">
        <v>893</v>
      </c>
      <c r="K123" s="272"/>
      <c r="L123" s="272"/>
      <c r="M123" s="152"/>
      <c r="N123" s="103"/>
      <c r="O123" s="40"/>
      <c r="P123" s="23"/>
      <c r="Q123" s="23"/>
    </row>
    <row r="124" spans="1:17" ht="18.75" customHeight="1">
      <c r="A124" s="370" t="s">
        <v>844</v>
      </c>
      <c r="B124" s="469" t="s">
        <v>912</v>
      </c>
      <c r="C124" s="281"/>
      <c r="D124" s="340"/>
      <c r="E124" s="281"/>
      <c r="F124" s="282" t="s">
        <v>382</v>
      </c>
      <c r="G124" s="1191">
        <v>0</v>
      </c>
      <c r="H124" s="1191"/>
      <c r="I124" s="1191">
        <v>2</v>
      </c>
      <c r="J124" s="360">
        <f>J125+J126</f>
        <v>4214.62</v>
      </c>
      <c r="K124" s="360"/>
      <c r="L124" s="272"/>
      <c r="M124" s="152"/>
      <c r="N124" s="103"/>
      <c r="O124" s="40"/>
      <c r="P124" s="23"/>
      <c r="Q124" s="23"/>
    </row>
    <row r="125" spans="1:17" ht="17.25" customHeight="1">
      <c r="A125" s="504"/>
      <c r="B125" s="469" t="s">
        <v>829</v>
      </c>
      <c r="C125" s="279"/>
      <c r="D125" s="280"/>
      <c r="E125" s="281" t="s">
        <v>793</v>
      </c>
      <c r="F125" s="282" t="s">
        <v>382</v>
      </c>
      <c r="G125" s="1192">
        <v>0</v>
      </c>
      <c r="H125" s="1192"/>
      <c r="I125" s="1192">
        <v>2</v>
      </c>
      <c r="J125" s="272">
        <f>1876.4+2280.22</f>
        <v>4156.62</v>
      </c>
      <c r="K125" s="272"/>
      <c r="L125" s="272"/>
      <c r="M125" s="152"/>
      <c r="N125" s="99"/>
      <c r="O125" s="40"/>
      <c r="P125" s="23"/>
      <c r="Q125" s="23"/>
    </row>
    <row r="126" spans="1:17" ht="16.5" customHeight="1">
      <c r="A126" s="502"/>
      <c r="B126" s="469" t="s">
        <v>830</v>
      </c>
      <c r="C126" s="279"/>
      <c r="D126" s="280"/>
      <c r="E126" s="281" t="s">
        <v>799</v>
      </c>
      <c r="F126" s="282" t="s">
        <v>802</v>
      </c>
      <c r="G126" s="1243">
        <v>1</v>
      </c>
      <c r="H126" s="1243"/>
      <c r="I126" s="1243"/>
      <c r="J126" s="272">
        <f>26+32</f>
        <v>58</v>
      </c>
      <c r="K126" s="272"/>
      <c r="L126" s="272"/>
      <c r="M126" s="152"/>
      <c r="N126" s="99"/>
      <c r="O126" s="846"/>
      <c r="P126" s="23"/>
      <c r="Q126" s="23"/>
    </row>
    <row r="127" spans="1:17" ht="18" customHeight="1">
      <c r="A127" s="370" t="s">
        <v>917</v>
      </c>
      <c r="B127" s="469" t="s">
        <v>918</v>
      </c>
      <c r="C127" s="279"/>
      <c r="D127" s="280"/>
      <c r="E127" s="281"/>
      <c r="F127" s="282"/>
      <c r="G127" s="590">
        <v>0</v>
      </c>
      <c r="H127" s="361"/>
      <c r="I127" s="1191">
        <v>7</v>
      </c>
      <c r="J127" s="360">
        <f>J128+J129</f>
        <v>15249.47</v>
      </c>
      <c r="K127" s="360"/>
      <c r="L127" s="360"/>
      <c r="M127" s="152"/>
      <c r="N127" s="99"/>
      <c r="O127" s="40"/>
      <c r="P127" s="23"/>
      <c r="Q127" s="23"/>
    </row>
    <row r="128" spans="1:17" ht="18" customHeight="1">
      <c r="A128" s="370"/>
      <c r="B128" s="469" t="s">
        <v>829</v>
      </c>
      <c r="C128" s="279"/>
      <c r="D128" s="280"/>
      <c r="E128" s="281" t="s">
        <v>793</v>
      </c>
      <c r="F128" s="282" t="s">
        <v>382</v>
      </c>
      <c r="G128" s="285">
        <v>0</v>
      </c>
      <c r="H128" s="285"/>
      <c r="I128" s="1192">
        <v>7</v>
      </c>
      <c r="J128" s="272">
        <v>15039.65</v>
      </c>
      <c r="K128" s="272"/>
      <c r="L128" s="272"/>
      <c r="M128" s="152"/>
      <c r="N128" s="99"/>
      <c r="O128" s="40"/>
      <c r="P128" s="23"/>
      <c r="Q128" s="23"/>
    </row>
    <row r="129" spans="1:17" ht="17.25" customHeight="1">
      <c r="A129" s="370"/>
      <c r="B129" s="469" t="s">
        <v>830</v>
      </c>
      <c r="C129" s="279"/>
      <c r="D129" s="280"/>
      <c r="E129" s="281" t="s">
        <v>799</v>
      </c>
      <c r="F129" s="282" t="s">
        <v>802</v>
      </c>
      <c r="G129" s="1243">
        <v>1</v>
      </c>
      <c r="H129" s="1243"/>
      <c r="I129" s="1243"/>
      <c r="J129" s="272">
        <v>209.82</v>
      </c>
      <c r="K129" s="272"/>
      <c r="L129" s="272"/>
      <c r="M129" s="152"/>
      <c r="N129" s="99"/>
      <c r="O129" s="40"/>
      <c r="P129" s="23"/>
      <c r="Q129" s="23"/>
    </row>
    <row r="130" spans="1:17" ht="25.5" customHeight="1">
      <c r="A130" s="370" t="s">
        <v>942</v>
      </c>
      <c r="B130" s="469" t="s">
        <v>943</v>
      </c>
      <c r="C130" s="279"/>
      <c r="D130" s="280"/>
      <c r="E130" s="325"/>
      <c r="F130" s="318"/>
      <c r="G130" s="1181">
        <f>G131</f>
        <v>100.4</v>
      </c>
      <c r="H130" s="354"/>
      <c r="I130" s="1191">
        <f>I131</f>
        <v>4</v>
      </c>
      <c r="J130" s="360">
        <f>J131+J132</f>
        <v>25423.2</v>
      </c>
      <c r="K130" s="360"/>
      <c r="L130" s="272"/>
      <c r="M130" s="152"/>
      <c r="N130" s="99"/>
      <c r="O130" s="40"/>
      <c r="P130" s="23"/>
      <c r="Q130" s="23"/>
    </row>
    <row r="131" spans="1:17" ht="18" customHeight="1">
      <c r="A131" s="504"/>
      <c r="B131" s="469" t="s">
        <v>829</v>
      </c>
      <c r="C131" s="279"/>
      <c r="D131" s="280"/>
      <c r="E131" s="281" t="s">
        <v>793</v>
      </c>
      <c r="F131" s="282" t="s">
        <v>382</v>
      </c>
      <c r="G131" s="1178">
        <v>100.4</v>
      </c>
      <c r="H131" s="285"/>
      <c r="I131" s="1192">
        <v>4</v>
      </c>
      <c r="J131" s="272">
        <v>25073.4</v>
      </c>
      <c r="K131" s="272"/>
      <c r="L131" s="272"/>
      <c r="M131" s="152"/>
      <c r="N131" s="99"/>
      <c r="O131" s="40"/>
      <c r="P131" s="23"/>
      <c r="Q131" s="23"/>
    </row>
    <row r="132" spans="1:17" ht="15.75" customHeight="1">
      <c r="A132" s="319"/>
      <c r="B132" s="470" t="s">
        <v>830</v>
      </c>
      <c r="C132" s="279"/>
      <c r="D132" s="280"/>
      <c r="E132" s="322" t="s">
        <v>799</v>
      </c>
      <c r="F132" s="282" t="s">
        <v>802</v>
      </c>
      <c r="G132" s="1243">
        <v>1</v>
      </c>
      <c r="H132" s="1243"/>
      <c r="I132" s="1243"/>
      <c r="J132" s="272">
        <v>349.8</v>
      </c>
      <c r="K132" s="272"/>
      <c r="L132" s="272"/>
      <c r="M132" s="152"/>
      <c r="N132" s="99"/>
      <c r="O132" s="40"/>
      <c r="P132" s="23"/>
      <c r="Q132" s="23"/>
    </row>
    <row r="133" spans="1:17" ht="21" customHeight="1">
      <c r="A133" s="370" t="s">
        <v>944</v>
      </c>
      <c r="B133" s="469" t="s">
        <v>950</v>
      </c>
      <c r="C133" s="281"/>
      <c r="D133" s="340"/>
      <c r="E133" s="281"/>
      <c r="F133" s="282" t="s">
        <v>382</v>
      </c>
      <c r="G133" s="1179">
        <v>628.2</v>
      </c>
      <c r="H133" s="378"/>
      <c r="I133" s="1191">
        <v>23</v>
      </c>
      <c r="J133" s="360">
        <f>J134+J135</f>
        <v>79760.65</v>
      </c>
      <c r="K133" s="360"/>
      <c r="L133" s="272"/>
      <c r="M133" s="152"/>
      <c r="N133" s="25"/>
      <c r="O133" s="40"/>
      <c r="P133" s="23"/>
      <c r="Q133" s="23"/>
    </row>
    <row r="134" spans="1:17" ht="16.5" customHeight="1">
      <c r="A134" s="504"/>
      <c r="B134" s="469" t="s">
        <v>829</v>
      </c>
      <c r="C134" s="279"/>
      <c r="D134" s="280"/>
      <c r="E134" s="281" t="s">
        <v>793</v>
      </c>
      <c r="F134" s="282" t="s">
        <v>382</v>
      </c>
      <c r="G134" s="1178">
        <v>628.2</v>
      </c>
      <c r="H134" s="285"/>
      <c r="I134" s="1192">
        <v>23</v>
      </c>
      <c r="J134" s="272">
        <v>78663.23</v>
      </c>
      <c r="K134" s="272"/>
      <c r="L134" s="272"/>
      <c r="M134" s="152"/>
      <c r="N134" s="99"/>
      <c r="O134" s="143"/>
      <c r="P134" s="23"/>
      <c r="Q134" s="23"/>
    </row>
    <row r="135" spans="1:17" ht="20.25" customHeight="1">
      <c r="A135" s="502"/>
      <c r="B135" s="469" t="s">
        <v>830</v>
      </c>
      <c r="C135" s="279"/>
      <c r="D135" s="280"/>
      <c r="E135" s="281" t="s">
        <v>799</v>
      </c>
      <c r="F135" s="282" t="s">
        <v>802</v>
      </c>
      <c r="G135" s="1243">
        <v>1</v>
      </c>
      <c r="H135" s="1243"/>
      <c r="I135" s="1243"/>
      <c r="J135" s="272">
        <v>1097.42</v>
      </c>
      <c r="K135" s="272"/>
      <c r="L135" s="272"/>
      <c r="M135" s="152"/>
      <c r="N135" s="99"/>
      <c r="O135" s="143"/>
      <c r="P135" s="23"/>
      <c r="Q135" s="23"/>
    </row>
    <row r="136" spans="1:17" ht="19.5" customHeight="1">
      <c r="A136" s="370" t="s">
        <v>951</v>
      </c>
      <c r="B136" s="469" t="s">
        <v>952</v>
      </c>
      <c r="C136" s="281"/>
      <c r="D136" s="340"/>
      <c r="E136" s="281"/>
      <c r="F136" s="282" t="s">
        <v>382</v>
      </c>
      <c r="G136" s="378">
        <v>0</v>
      </c>
      <c r="H136" s="378"/>
      <c r="I136" s="1191">
        <v>14</v>
      </c>
      <c r="J136" s="360">
        <f>J137+J138</f>
        <v>31728.579999999998</v>
      </c>
      <c r="K136" s="360"/>
      <c r="L136" s="272"/>
      <c r="M136" s="152"/>
      <c r="N136" s="99"/>
      <c r="O136" s="143"/>
      <c r="P136" s="23"/>
      <c r="Q136" s="23"/>
    </row>
    <row r="137" spans="1:17" ht="18" customHeight="1">
      <c r="A137" s="504"/>
      <c r="B137" s="469" t="s">
        <v>829</v>
      </c>
      <c r="C137" s="279"/>
      <c r="D137" s="280"/>
      <c r="E137" s="281" t="s">
        <v>793</v>
      </c>
      <c r="F137" s="282" t="s">
        <v>382</v>
      </c>
      <c r="G137" s="285">
        <v>0</v>
      </c>
      <c r="H137" s="285"/>
      <c r="I137" s="1192">
        <v>14</v>
      </c>
      <c r="J137" s="272">
        <v>31292.03</v>
      </c>
      <c r="K137" s="272"/>
      <c r="L137" s="272"/>
      <c r="M137" s="152"/>
      <c r="N137" s="99"/>
      <c r="O137" s="143"/>
      <c r="P137" s="23"/>
      <c r="Q137" s="23"/>
    </row>
    <row r="138" spans="1:17" ht="18.75" customHeight="1">
      <c r="A138" s="502"/>
      <c r="B138" s="469" t="s">
        <v>830</v>
      </c>
      <c r="C138" s="279"/>
      <c r="D138" s="280"/>
      <c r="E138" s="281" t="s">
        <v>799</v>
      </c>
      <c r="F138" s="282" t="s">
        <v>802</v>
      </c>
      <c r="G138" s="1243">
        <v>1</v>
      </c>
      <c r="H138" s="1243"/>
      <c r="I138" s="1243"/>
      <c r="J138" s="272">
        <v>436.55</v>
      </c>
      <c r="K138" s="272"/>
      <c r="L138" s="272"/>
      <c r="M138" s="152"/>
      <c r="N138" s="103"/>
      <c r="O138" s="40"/>
      <c r="P138" s="23"/>
      <c r="Q138" s="23"/>
    </row>
    <row r="139" spans="1:17" ht="19.5" customHeight="1">
      <c r="A139" s="370" t="s">
        <v>18</v>
      </c>
      <c r="B139" s="469" t="s">
        <v>19</v>
      </c>
      <c r="C139" s="281"/>
      <c r="D139" s="340"/>
      <c r="E139" s="281"/>
      <c r="F139" s="282" t="s">
        <v>382</v>
      </c>
      <c r="G139" s="1179">
        <v>916.4</v>
      </c>
      <c r="H139" s="378"/>
      <c r="I139" s="1191">
        <v>24</v>
      </c>
      <c r="J139" s="360">
        <f>J140+J141</f>
        <v>92830.61</v>
      </c>
      <c r="K139" s="360"/>
      <c r="L139" s="272"/>
      <c r="M139" s="152"/>
      <c r="N139" s="103"/>
      <c r="O139" s="40"/>
      <c r="P139" s="23"/>
      <c r="Q139" s="23"/>
    </row>
    <row r="140" spans="1:17" ht="16.5" customHeight="1">
      <c r="A140" s="504"/>
      <c r="B140" s="469" t="s">
        <v>829</v>
      </c>
      <c r="C140" s="279"/>
      <c r="D140" s="280"/>
      <c r="E140" s="281" t="s">
        <v>793</v>
      </c>
      <c r="F140" s="282" t="s">
        <v>382</v>
      </c>
      <c r="G140" s="1178">
        <v>916.4</v>
      </c>
      <c r="H140" s="285"/>
      <c r="I140" s="1192">
        <v>24</v>
      </c>
      <c r="J140" s="272">
        <v>91553.36</v>
      </c>
      <c r="K140" s="272"/>
      <c r="L140" s="272"/>
      <c r="M140" s="152"/>
      <c r="N140" s="99"/>
      <c r="O140" s="40"/>
      <c r="P140" s="23"/>
      <c r="Q140" s="23"/>
    </row>
    <row r="141" spans="1:17" ht="18.75" customHeight="1">
      <c r="A141" s="502"/>
      <c r="B141" s="469" t="s">
        <v>830</v>
      </c>
      <c r="C141" s="279"/>
      <c r="D141" s="280"/>
      <c r="E141" s="281" t="s">
        <v>799</v>
      </c>
      <c r="F141" s="282" t="s">
        <v>802</v>
      </c>
      <c r="G141" s="1243">
        <v>1</v>
      </c>
      <c r="H141" s="1243"/>
      <c r="I141" s="1243"/>
      <c r="J141" s="272">
        <v>1277.25</v>
      </c>
      <c r="K141" s="272"/>
      <c r="L141" s="272"/>
      <c r="M141" s="152"/>
      <c r="N141" s="772"/>
      <c r="O141" s="40"/>
      <c r="P141" s="23"/>
      <c r="Q141" s="772"/>
    </row>
    <row r="142" spans="1:17" ht="28.5" customHeight="1">
      <c r="A142" s="370" t="s">
        <v>20</v>
      </c>
      <c r="B142" s="469" t="s">
        <v>177</v>
      </c>
      <c r="C142" s="281"/>
      <c r="D142" s="340"/>
      <c r="E142" s="281"/>
      <c r="F142" s="282" t="s">
        <v>382</v>
      </c>
      <c r="G142" s="1179">
        <v>362.6</v>
      </c>
      <c r="H142" s="378"/>
      <c r="I142" s="1191">
        <v>11</v>
      </c>
      <c r="J142" s="360">
        <f>J143+J147</f>
        <v>41464.24</v>
      </c>
      <c r="K142" s="360"/>
      <c r="L142" s="272"/>
      <c r="M142" s="152"/>
      <c r="N142" s="772"/>
      <c r="O142" s="40"/>
      <c r="P142" s="23"/>
      <c r="Q142" s="772"/>
    </row>
    <row r="143" spans="1:17" ht="18.75" customHeight="1">
      <c r="A143" s="504"/>
      <c r="B143" s="469" t="s">
        <v>829</v>
      </c>
      <c r="C143" s="279"/>
      <c r="D143" s="280"/>
      <c r="E143" s="281" t="s">
        <v>793</v>
      </c>
      <c r="F143" s="282" t="s">
        <v>382</v>
      </c>
      <c r="G143" s="1178">
        <v>362.6</v>
      </c>
      <c r="H143" s="285"/>
      <c r="I143" s="1192">
        <v>11</v>
      </c>
      <c r="J143" s="272">
        <v>40893.74</v>
      </c>
      <c r="K143" s="272"/>
      <c r="L143" s="272"/>
      <c r="M143" s="152"/>
      <c r="N143" s="149"/>
      <c r="O143" s="40"/>
      <c r="P143" s="23"/>
      <c r="Q143" s="149"/>
    </row>
    <row r="144" spans="1:17" ht="19.5" customHeight="1" hidden="1">
      <c r="A144" s="502"/>
      <c r="B144" s="469" t="s">
        <v>830</v>
      </c>
      <c r="C144" s="279"/>
      <c r="D144" s="280"/>
      <c r="E144" s="281" t="s">
        <v>799</v>
      </c>
      <c r="F144" s="282" t="s">
        <v>802</v>
      </c>
      <c r="G144" s="1243">
        <v>1</v>
      </c>
      <c r="H144" s="1243"/>
      <c r="I144" s="1243"/>
      <c r="J144" s="272"/>
      <c r="K144" s="272"/>
      <c r="L144" s="272"/>
      <c r="M144" s="152"/>
      <c r="N144" s="149"/>
      <c r="O144" s="40"/>
      <c r="P144" s="23"/>
      <c r="Q144" s="149"/>
    </row>
    <row r="145" spans="1:17" ht="39" customHeight="1" hidden="1">
      <c r="A145" s="319"/>
      <c r="B145" s="470"/>
      <c r="C145" s="279"/>
      <c r="D145" s="280"/>
      <c r="E145" s="281"/>
      <c r="F145" s="318"/>
      <c r="G145" s="355"/>
      <c r="H145" s="356"/>
      <c r="I145" s="357"/>
      <c r="J145" s="272"/>
      <c r="K145" s="272"/>
      <c r="L145" s="272"/>
      <c r="M145" s="152"/>
      <c r="N145" s="772"/>
      <c r="O145" s="40"/>
      <c r="P145" s="23"/>
      <c r="Q145" s="772"/>
    </row>
    <row r="146" spans="1:17" ht="37.5" customHeight="1" hidden="1">
      <c r="A146" s="319"/>
      <c r="B146" s="470"/>
      <c r="C146" s="279"/>
      <c r="D146" s="280"/>
      <c r="E146" s="281"/>
      <c r="F146" s="318"/>
      <c r="G146" s="355"/>
      <c r="H146" s="356"/>
      <c r="I146" s="357"/>
      <c r="J146" s="272"/>
      <c r="K146" s="272"/>
      <c r="L146" s="272"/>
      <c r="M146" s="152"/>
      <c r="N146" s="772"/>
      <c r="O146" s="40"/>
      <c r="P146" s="23"/>
      <c r="Q146" s="772"/>
    </row>
    <row r="147" spans="1:17" ht="18.75" customHeight="1">
      <c r="A147" s="502"/>
      <c r="B147" s="469" t="s">
        <v>830</v>
      </c>
      <c r="C147" s="279"/>
      <c r="D147" s="280"/>
      <c r="E147" s="281" t="s">
        <v>799</v>
      </c>
      <c r="F147" s="282" t="s">
        <v>802</v>
      </c>
      <c r="G147" s="1243">
        <v>1</v>
      </c>
      <c r="H147" s="1243"/>
      <c r="I147" s="1243"/>
      <c r="J147" s="272">
        <v>570.5</v>
      </c>
      <c r="K147" s="272"/>
      <c r="L147" s="272"/>
      <c r="M147" s="152"/>
      <c r="N147" s="772"/>
      <c r="O147" s="40"/>
      <c r="P147" s="23"/>
      <c r="Q147" s="772"/>
    </row>
    <row r="148" spans="1:17" ht="25.5" customHeight="1">
      <c r="A148" s="502" t="s">
        <v>163</v>
      </c>
      <c r="B148" s="792" t="s">
        <v>162</v>
      </c>
      <c r="C148" s="279"/>
      <c r="D148" s="280"/>
      <c r="E148" s="281"/>
      <c r="F148" s="282"/>
      <c r="G148" s="1179">
        <f>G149</f>
        <v>416.6</v>
      </c>
      <c r="H148" s="378"/>
      <c r="I148" s="1191">
        <f>I149</f>
        <v>12</v>
      </c>
      <c r="J148" s="360">
        <f>J149+J150</f>
        <v>47971.73</v>
      </c>
      <c r="K148" s="360"/>
      <c r="L148" s="272"/>
      <c r="M148" s="152"/>
      <c r="N148" s="149"/>
      <c r="O148" s="40"/>
      <c r="P148" s="23"/>
      <c r="Q148" s="149"/>
    </row>
    <row r="149" spans="1:17" ht="18.75" customHeight="1">
      <c r="A149" s="319"/>
      <c r="B149" s="792" t="s">
        <v>829</v>
      </c>
      <c r="C149" s="279"/>
      <c r="D149" s="280"/>
      <c r="E149" s="281" t="s">
        <v>793</v>
      </c>
      <c r="F149" s="282" t="s">
        <v>382</v>
      </c>
      <c r="G149" s="1178">
        <v>416.6</v>
      </c>
      <c r="H149" s="285"/>
      <c r="I149" s="1192">
        <v>12</v>
      </c>
      <c r="J149" s="272">
        <v>47311.69</v>
      </c>
      <c r="K149" s="272"/>
      <c r="L149" s="272"/>
      <c r="M149" s="152"/>
      <c r="N149" s="149"/>
      <c r="O149" s="40"/>
      <c r="P149" s="23"/>
      <c r="Q149" s="149"/>
    </row>
    <row r="150" spans="1:17" ht="18.75" customHeight="1">
      <c r="A150" s="502"/>
      <c r="B150" s="469" t="s">
        <v>830</v>
      </c>
      <c r="C150" s="279"/>
      <c r="D150" s="280"/>
      <c r="E150" s="281" t="s">
        <v>799</v>
      </c>
      <c r="F150" s="282" t="s">
        <v>802</v>
      </c>
      <c r="G150" s="1243">
        <v>1</v>
      </c>
      <c r="H150" s="1243"/>
      <c r="I150" s="1243"/>
      <c r="J150" s="272">
        <v>660.04</v>
      </c>
      <c r="K150" s="272"/>
      <c r="L150" s="272"/>
      <c r="M150" s="152"/>
      <c r="N150" s="149"/>
      <c r="O150" s="40"/>
      <c r="P150" s="23"/>
      <c r="Q150" s="149"/>
    </row>
    <row r="151" spans="1:17" ht="20.25" customHeight="1">
      <c r="A151" s="502" t="s">
        <v>164</v>
      </c>
      <c r="B151" s="847" t="s">
        <v>165</v>
      </c>
      <c r="C151" s="279"/>
      <c r="D151" s="280"/>
      <c r="E151" s="281"/>
      <c r="F151" s="282"/>
      <c r="G151" s="1191">
        <f>G152</f>
        <v>885</v>
      </c>
      <c r="H151" s="378"/>
      <c r="I151" s="1191">
        <f>I152</f>
        <v>25</v>
      </c>
      <c r="J151" s="360">
        <f>J152+J153</f>
        <v>98729.43000000001</v>
      </c>
      <c r="K151" s="360"/>
      <c r="L151" s="272"/>
      <c r="M151" s="152"/>
      <c r="N151" s="149"/>
      <c r="O151" s="40"/>
      <c r="P151" s="23"/>
      <c r="Q151" s="149"/>
    </row>
    <row r="152" spans="1:17" ht="20.25" customHeight="1">
      <c r="A152" s="370"/>
      <c r="B152" s="792" t="s">
        <v>829</v>
      </c>
      <c r="C152" s="279"/>
      <c r="D152" s="280"/>
      <c r="E152" s="281" t="s">
        <v>793</v>
      </c>
      <c r="F152" s="282" t="s">
        <v>382</v>
      </c>
      <c r="G152" s="1192">
        <v>885</v>
      </c>
      <c r="H152" s="285"/>
      <c r="I152" s="1192">
        <v>25</v>
      </c>
      <c r="J152" s="272">
        <v>97210.52</v>
      </c>
      <c r="K152" s="272"/>
      <c r="L152" s="272"/>
      <c r="M152" s="152"/>
      <c r="N152" s="149"/>
      <c r="O152" s="40"/>
      <c r="P152" s="23"/>
      <c r="Q152" s="149"/>
    </row>
    <row r="153" spans="1:17" ht="20.25" customHeight="1">
      <c r="A153" s="502"/>
      <c r="B153" s="469" t="s">
        <v>830</v>
      </c>
      <c r="C153" s="279"/>
      <c r="D153" s="280"/>
      <c r="E153" s="281" t="s">
        <v>17</v>
      </c>
      <c r="F153" s="282" t="s">
        <v>802</v>
      </c>
      <c r="G153" s="1243">
        <v>1</v>
      </c>
      <c r="H153" s="1243"/>
      <c r="I153" s="1243"/>
      <c r="J153" s="272">
        <v>1518.91</v>
      </c>
      <c r="K153" s="272"/>
      <c r="L153" s="272"/>
      <c r="M153" s="152"/>
      <c r="N153" s="149"/>
      <c r="O153" s="40"/>
      <c r="P153" s="23"/>
      <c r="Q153" s="149"/>
    </row>
    <row r="154" spans="1:17" ht="20.25" customHeight="1">
      <c r="A154" s="502" t="s">
        <v>235</v>
      </c>
      <c r="B154" s="847" t="s">
        <v>236</v>
      </c>
      <c r="C154" s="313"/>
      <c r="D154" s="314"/>
      <c r="E154" s="325"/>
      <c r="F154" s="318"/>
      <c r="G154" s="1181">
        <f>G155</f>
        <v>582.3</v>
      </c>
      <c r="H154" s="356"/>
      <c r="I154" s="1203">
        <f>I155</f>
        <v>19</v>
      </c>
      <c r="J154" s="329">
        <f>J155+J156</f>
        <v>71099.45</v>
      </c>
      <c r="K154" s="329"/>
      <c r="L154" s="272"/>
      <c r="M154" s="152"/>
      <c r="N154" s="149"/>
      <c r="O154" s="40"/>
      <c r="P154" s="23"/>
      <c r="Q154" s="149"/>
    </row>
    <row r="155" spans="1:17" ht="20.25" customHeight="1">
      <c r="A155" s="502"/>
      <c r="B155" s="792" t="s">
        <v>829</v>
      </c>
      <c r="C155" s="279"/>
      <c r="D155" s="280"/>
      <c r="E155" s="281" t="s">
        <v>793</v>
      </c>
      <c r="F155" s="282" t="s">
        <v>382</v>
      </c>
      <c r="G155" s="1178">
        <v>582.3</v>
      </c>
      <c r="H155" s="285"/>
      <c r="I155" s="1192">
        <v>19</v>
      </c>
      <c r="J155" s="272">
        <v>70005.61</v>
      </c>
      <c r="K155" s="272"/>
      <c r="L155" s="272"/>
      <c r="M155" s="152"/>
      <c r="N155" s="149"/>
      <c r="O155" s="40"/>
      <c r="P155" s="23"/>
      <c r="Q155" s="149"/>
    </row>
    <row r="156" spans="1:17" ht="20.25" customHeight="1">
      <c r="A156" s="502"/>
      <c r="B156" s="469" t="s">
        <v>830</v>
      </c>
      <c r="C156" s="279"/>
      <c r="D156" s="280"/>
      <c r="E156" s="281" t="s">
        <v>17</v>
      </c>
      <c r="F156" s="282" t="s">
        <v>802</v>
      </c>
      <c r="G156" s="1243">
        <v>1</v>
      </c>
      <c r="H156" s="1243"/>
      <c r="I156" s="1243"/>
      <c r="J156" s="272">
        <v>1093.84</v>
      </c>
      <c r="K156" s="272"/>
      <c r="L156" s="272"/>
      <c r="M156" s="152"/>
      <c r="N156" s="149"/>
      <c r="O156" s="40"/>
      <c r="P156" s="23"/>
      <c r="Q156" s="149"/>
    </row>
    <row r="157" spans="1:17" ht="27" customHeight="1">
      <c r="A157" s="502" t="s">
        <v>352</v>
      </c>
      <c r="B157" s="847" t="s">
        <v>353</v>
      </c>
      <c r="C157" s="313"/>
      <c r="D157" s="314"/>
      <c r="E157" s="325"/>
      <c r="F157" s="318"/>
      <c r="G157" s="1194">
        <f>G158</f>
        <v>1345</v>
      </c>
      <c r="H157" s="969"/>
      <c r="I157" s="1194">
        <f>I158</f>
        <v>38</v>
      </c>
      <c r="J157" s="616">
        <f>J158+J159</f>
        <v>164489.1</v>
      </c>
      <c r="K157" s="616"/>
      <c r="L157" s="272"/>
      <c r="M157" s="152"/>
      <c r="N157" s="149"/>
      <c r="O157" s="40"/>
      <c r="P157" s="23"/>
      <c r="Q157" s="149"/>
    </row>
    <row r="158" spans="1:17" ht="20.25" customHeight="1">
      <c r="A158" s="502"/>
      <c r="B158" s="792" t="s">
        <v>829</v>
      </c>
      <c r="C158" s="279"/>
      <c r="D158" s="280"/>
      <c r="E158" s="281" t="s">
        <v>793</v>
      </c>
      <c r="F158" s="282" t="s">
        <v>382</v>
      </c>
      <c r="G158" s="1195">
        <v>1345</v>
      </c>
      <c r="H158" s="448"/>
      <c r="I158" s="1195">
        <v>38</v>
      </c>
      <c r="J158" s="384">
        <v>161958.5</v>
      </c>
      <c r="K158" s="384"/>
      <c r="L158" s="272"/>
      <c r="M158" s="152"/>
      <c r="N158" s="149"/>
      <c r="O158" s="40"/>
      <c r="P158" s="23"/>
      <c r="Q158" s="149"/>
    </row>
    <row r="159" spans="1:17" ht="20.25" customHeight="1">
      <c r="A159" s="502"/>
      <c r="B159" s="469" t="s">
        <v>830</v>
      </c>
      <c r="C159" s="279"/>
      <c r="D159" s="280"/>
      <c r="E159" s="281" t="s">
        <v>17</v>
      </c>
      <c r="F159" s="282" t="s">
        <v>802</v>
      </c>
      <c r="G159" s="1243">
        <v>1</v>
      </c>
      <c r="H159" s="1243"/>
      <c r="I159" s="1243"/>
      <c r="J159" s="272">
        <v>2530.6</v>
      </c>
      <c r="K159" s="272"/>
      <c r="L159" s="272"/>
      <c r="M159" s="152"/>
      <c r="N159" s="149"/>
      <c r="O159" s="40"/>
      <c r="P159" s="23"/>
      <c r="Q159" s="149"/>
    </row>
    <row r="160" spans="1:17" ht="20.25" customHeight="1">
      <c r="A160" s="502" t="s">
        <v>415</v>
      </c>
      <c r="B160" s="847" t="s">
        <v>416</v>
      </c>
      <c r="C160" s="313"/>
      <c r="D160" s="314"/>
      <c r="E160" s="325"/>
      <c r="F160" s="318"/>
      <c r="G160" s="1181">
        <f>G161</f>
        <v>420.7</v>
      </c>
      <c r="H160" s="356"/>
      <c r="I160" s="1191">
        <f>I161</f>
        <v>15</v>
      </c>
      <c r="J160" s="329">
        <f>J161+J162</f>
        <v>57432.26</v>
      </c>
      <c r="K160" s="329"/>
      <c r="L160" s="272"/>
      <c r="M160" s="152"/>
      <c r="N160" s="149"/>
      <c r="O160" s="40"/>
      <c r="P160" s="23"/>
      <c r="Q160" s="149"/>
    </row>
    <row r="161" spans="1:17" ht="20.25" customHeight="1">
      <c r="A161" s="502"/>
      <c r="B161" s="792" t="s">
        <v>829</v>
      </c>
      <c r="C161" s="279"/>
      <c r="D161" s="280"/>
      <c r="E161" s="281" t="s">
        <v>793</v>
      </c>
      <c r="F161" s="282" t="s">
        <v>382</v>
      </c>
      <c r="G161" s="1178">
        <v>420.7</v>
      </c>
      <c r="H161" s="285"/>
      <c r="I161" s="1192">
        <v>15</v>
      </c>
      <c r="J161" s="272">
        <v>56548.69</v>
      </c>
      <c r="K161" s="272"/>
      <c r="L161" s="272"/>
      <c r="M161" s="152"/>
      <c r="N161" s="149"/>
      <c r="O161" s="40"/>
      <c r="P161" s="23"/>
      <c r="Q161" s="149"/>
    </row>
    <row r="162" spans="1:17" ht="20.25" customHeight="1">
      <c r="A162" s="502"/>
      <c r="B162" s="469" t="s">
        <v>830</v>
      </c>
      <c r="C162" s="279"/>
      <c r="D162" s="280"/>
      <c r="E162" s="281" t="s">
        <v>17</v>
      </c>
      <c r="F162" s="282" t="s">
        <v>802</v>
      </c>
      <c r="G162" s="1243">
        <v>1</v>
      </c>
      <c r="H162" s="1243"/>
      <c r="I162" s="1243"/>
      <c r="J162" s="272">
        <v>883.57</v>
      </c>
      <c r="K162" s="272"/>
      <c r="L162" s="272"/>
      <c r="M162" s="152"/>
      <c r="N162" s="149"/>
      <c r="O162" s="40"/>
      <c r="P162" s="23"/>
      <c r="Q162" s="149"/>
    </row>
    <row r="163" spans="1:17" ht="20.25" customHeight="1">
      <c r="A163" s="502" t="s">
        <v>501</v>
      </c>
      <c r="B163" s="1085" t="s">
        <v>502</v>
      </c>
      <c r="C163" s="313"/>
      <c r="D163" s="314"/>
      <c r="E163" s="325"/>
      <c r="F163" s="318"/>
      <c r="G163" s="1179">
        <v>713.1</v>
      </c>
      <c r="H163" s="378"/>
      <c r="I163" s="1191">
        <v>20</v>
      </c>
      <c r="J163" s="498">
        <f>J164+J165</f>
        <v>79166.40000000001</v>
      </c>
      <c r="K163" s="498"/>
      <c r="L163" s="272"/>
      <c r="M163" s="152"/>
      <c r="N163" s="149"/>
      <c r="O163" s="40"/>
      <c r="P163" s="23"/>
      <c r="Q163" s="149"/>
    </row>
    <row r="164" spans="1:17" ht="20.25" customHeight="1">
      <c r="A164" s="502"/>
      <c r="B164" s="792" t="s">
        <v>829</v>
      </c>
      <c r="C164" s="279"/>
      <c r="D164" s="280"/>
      <c r="E164" s="281" t="s">
        <v>793</v>
      </c>
      <c r="F164" s="282" t="s">
        <v>382</v>
      </c>
      <c r="G164" s="1178">
        <v>713.1</v>
      </c>
      <c r="H164" s="285"/>
      <c r="I164" s="1192">
        <v>20</v>
      </c>
      <c r="J164" s="272">
        <v>77948.46</v>
      </c>
      <c r="K164" s="272"/>
      <c r="L164" s="272"/>
      <c r="M164" s="152"/>
      <c r="N164" s="149"/>
      <c r="O164" s="40"/>
      <c r="P164" s="23"/>
      <c r="Q164" s="149"/>
    </row>
    <row r="165" spans="1:17" ht="20.25" customHeight="1">
      <c r="A165" s="502"/>
      <c r="B165" s="469" t="s">
        <v>830</v>
      </c>
      <c r="C165" s="279"/>
      <c r="D165" s="280"/>
      <c r="E165" s="281" t="s">
        <v>17</v>
      </c>
      <c r="F165" s="282" t="s">
        <v>802</v>
      </c>
      <c r="G165" s="1243">
        <v>1</v>
      </c>
      <c r="H165" s="1243"/>
      <c r="I165" s="1243"/>
      <c r="J165" s="272">
        <v>1217.94</v>
      </c>
      <c r="K165" s="272"/>
      <c r="L165" s="272"/>
      <c r="M165" s="152"/>
      <c r="N165" s="149"/>
      <c r="O165" s="40"/>
      <c r="P165" s="23"/>
      <c r="Q165" s="149"/>
    </row>
    <row r="166" spans="1:17" ht="20.25" customHeight="1">
      <c r="A166" s="502" t="s">
        <v>503</v>
      </c>
      <c r="B166" s="1085" t="s">
        <v>504</v>
      </c>
      <c r="C166" s="313"/>
      <c r="D166" s="314"/>
      <c r="E166" s="325"/>
      <c r="F166" s="318"/>
      <c r="G166" s="1179">
        <v>848.7</v>
      </c>
      <c r="H166" s="378"/>
      <c r="I166" s="1191">
        <v>28</v>
      </c>
      <c r="J166" s="498">
        <f>J167+J168</f>
        <v>104973.64</v>
      </c>
      <c r="K166" s="498"/>
      <c r="L166" s="272"/>
      <c r="M166" s="152"/>
      <c r="N166" s="149"/>
      <c r="O166" s="40"/>
      <c r="P166" s="23"/>
      <c r="Q166" s="149"/>
    </row>
    <row r="167" spans="1:17" ht="20.25" customHeight="1">
      <c r="A167" s="502"/>
      <c r="B167" s="792" t="s">
        <v>829</v>
      </c>
      <c r="C167" s="279"/>
      <c r="D167" s="280"/>
      <c r="E167" s="281" t="s">
        <v>793</v>
      </c>
      <c r="F167" s="282" t="s">
        <v>382</v>
      </c>
      <c r="G167" s="1178">
        <v>848.7</v>
      </c>
      <c r="H167" s="285"/>
      <c r="I167" s="1192">
        <v>28</v>
      </c>
      <c r="J167" s="272">
        <v>103358.66</v>
      </c>
      <c r="K167" s="272"/>
      <c r="L167" s="272"/>
      <c r="M167" s="152"/>
      <c r="N167" s="149"/>
      <c r="O167" s="40"/>
      <c r="P167" s="23"/>
      <c r="Q167" s="149"/>
    </row>
    <row r="168" spans="1:17" ht="20.25" customHeight="1">
      <c r="A168" s="502"/>
      <c r="B168" s="469" t="s">
        <v>830</v>
      </c>
      <c r="C168" s="279"/>
      <c r="D168" s="280"/>
      <c r="E168" s="281" t="s">
        <v>17</v>
      </c>
      <c r="F168" s="282" t="s">
        <v>802</v>
      </c>
      <c r="G168" s="1243">
        <v>1</v>
      </c>
      <c r="H168" s="1243"/>
      <c r="I168" s="1243"/>
      <c r="J168" s="272">
        <v>1614.98</v>
      </c>
      <c r="K168" s="272"/>
      <c r="L168" s="272"/>
      <c r="M168" s="152"/>
      <c r="N168" s="149"/>
      <c r="O168" s="40"/>
      <c r="P168" s="23"/>
      <c r="Q168" s="149"/>
    </row>
    <row r="169" spans="1:17" ht="20.25" customHeight="1">
      <c r="A169" s="502" t="s">
        <v>663</v>
      </c>
      <c r="B169" s="1085" t="s">
        <v>664</v>
      </c>
      <c r="C169" s="313"/>
      <c r="D169" s="314"/>
      <c r="E169" s="325"/>
      <c r="F169" s="318"/>
      <c r="G169" s="1179">
        <v>158.7</v>
      </c>
      <c r="H169" s="378"/>
      <c r="I169" s="1191">
        <v>4</v>
      </c>
      <c r="J169" s="498">
        <f>J170+J171</f>
        <v>17321.890000000003</v>
      </c>
      <c r="K169" s="498"/>
      <c r="L169" s="272"/>
      <c r="M169" s="152"/>
      <c r="N169" s="149"/>
      <c r="O169" s="40"/>
      <c r="P169" s="23"/>
      <c r="Q169" s="149"/>
    </row>
    <row r="170" spans="1:17" ht="20.25" customHeight="1">
      <c r="A170" s="502"/>
      <c r="B170" s="792" t="s">
        <v>829</v>
      </c>
      <c r="C170" s="279"/>
      <c r="D170" s="280"/>
      <c r="E170" s="281" t="s">
        <v>793</v>
      </c>
      <c r="F170" s="282" t="s">
        <v>382</v>
      </c>
      <c r="G170" s="1178">
        <v>158.7</v>
      </c>
      <c r="H170" s="285"/>
      <c r="I170" s="1192">
        <v>4</v>
      </c>
      <c r="J170" s="272">
        <v>17055.4</v>
      </c>
      <c r="K170" s="272"/>
      <c r="L170" s="272"/>
      <c r="M170" s="152"/>
      <c r="N170" s="149"/>
      <c r="O170" s="40"/>
      <c r="P170" s="23"/>
      <c r="Q170" s="149"/>
    </row>
    <row r="171" spans="1:17" ht="20.25" customHeight="1">
      <c r="A171" s="502"/>
      <c r="B171" s="469" t="s">
        <v>830</v>
      </c>
      <c r="C171" s="279"/>
      <c r="D171" s="280"/>
      <c r="E171" s="281" t="s">
        <v>17</v>
      </c>
      <c r="F171" s="282" t="s">
        <v>802</v>
      </c>
      <c r="G171" s="1243">
        <v>1</v>
      </c>
      <c r="H171" s="1243"/>
      <c r="I171" s="1243"/>
      <c r="J171" s="272">
        <v>266.49</v>
      </c>
      <c r="K171" s="272"/>
      <c r="L171" s="272"/>
      <c r="M171" s="152"/>
      <c r="N171" s="149"/>
      <c r="O171" s="40"/>
      <c r="P171" s="23"/>
      <c r="Q171" s="149"/>
    </row>
    <row r="172" spans="1:17" ht="20.25" customHeight="1">
      <c r="A172" s="502" t="s">
        <v>684</v>
      </c>
      <c r="B172" s="1085" t="s">
        <v>665</v>
      </c>
      <c r="C172" s="313"/>
      <c r="D172" s="314"/>
      <c r="E172" s="325"/>
      <c r="F172" s="318"/>
      <c r="G172" s="1179">
        <v>772.3</v>
      </c>
      <c r="H172" s="378"/>
      <c r="I172" s="1191">
        <v>22</v>
      </c>
      <c r="J172" s="498">
        <f>J173+J174</f>
        <v>88295.78</v>
      </c>
      <c r="K172" s="498"/>
      <c r="L172" s="272"/>
      <c r="M172" s="152"/>
      <c r="N172" s="149"/>
      <c r="O172" s="40"/>
      <c r="P172" s="23"/>
      <c r="Q172" s="149"/>
    </row>
    <row r="173" spans="1:17" ht="20.25" customHeight="1">
      <c r="A173" s="502"/>
      <c r="B173" s="792" t="s">
        <v>829</v>
      </c>
      <c r="C173" s="279"/>
      <c r="D173" s="280"/>
      <c r="E173" s="281" t="s">
        <v>793</v>
      </c>
      <c r="F173" s="282" t="s">
        <v>382</v>
      </c>
      <c r="G173" s="1178">
        <v>772.3</v>
      </c>
      <c r="H173" s="285"/>
      <c r="I173" s="1192">
        <v>22</v>
      </c>
      <c r="J173" s="272">
        <v>86937.38</v>
      </c>
      <c r="K173" s="272"/>
      <c r="L173" s="272"/>
      <c r="M173" s="152"/>
      <c r="N173" s="149"/>
      <c r="O173" s="40"/>
      <c r="P173" s="23"/>
      <c r="Q173" s="149"/>
    </row>
    <row r="174" spans="1:17" ht="20.25" customHeight="1">
      <c r="A174" s="502"/>
      <c r="B174" s="469" t="s">
        <v>830</v>
      </c>
      <c r="C174" s="279"/>
      <c r="D174" s="836"/>
      <c r="E174" s="281" t="s">
        <v>17</v>
      </c>
      <c r="F174" s="318"/>
      <c r="G174" s="1295">
        <v>1</v>
      </c>
      <c r="H174" s="1296"/>
      <c r="I174" s="1297"/>
      <c r="J174" s="316">
        <v>1358.4</v>
      </c>
      <c r="K174" s="323"/>
      <c r="L174" s="272"/>
      <c r="M174" s="152"/>
      <c r="N174" s="149"/>
      <c r="O174" s="40"/>
      <c r="P174" s="23"/>
      <c r="Q174" s="149"/>
    </row>
    <row r="175" spans="1:17" ht="23.25" customHeight="1">
      <c r="A175" s="502" t="s">
        <v>544</v>
      </c>
      <c r="B175" s="473" t="s">
        <v>545</v>
      </c>
      <c r="C175" s="649"/>
      <c r="D175" s="314"/>
      <c r="E175" s="325"/>
      <c r="F175" s="318"/>
      <c r="G175" s="1181">
        <v>153</v>
      </c>
      <c r="H175" s="354"/>
      <c r="I175" s="1191">
        <v>5</v>
      </c>
      <c r="J175" s="360">
        <f>J176+J177</f>
        <v>39323.82</v>
      </c>
      <c r="K175" s="323"/>
      <c r="L175" s="272"/>
      <c r="M175" s="152"/>
      <c r="N175" s="149"/>
      <c r="O175" s="40"/>
      <c r="P175" s="23"/>
      <c r="Q175" s="149"/>
    </row>
    <row r="176" spans="1:17" ht="20.25" customHeight="1">
      <c r="A176" s="502"/>
      <c r="B176" s="792" t="s">
        <v>829</v>
      </c>
      <c r="C176" s="649"/>
      <c r="D176" s="314"/>
      <c r="E176" s="281" t="s">
        <v>793</v>
      </c>
      <c r="F176" s="282" t="s">
        <v>382</v>
      </c>
      <c r="G176" s="1182">
        <v>153</v>
      </c>
      <c r="H176" s="356"/>
      <c r="I176" s="1192">
        <v>5</v>
      </c>
      <c r="J176" s="272">
        <v>38689.07</v>
      </c>
      <c r="K176" s="323"/>
      <c r="L176" s="272"/>
      <c r="M176" s="152"/>
      <c r="N176" s="149"/>
      <c r="O176" s="40"/>
      <c r="P176" s="23"/>
      <c r="Q176" s="149"/>
    </row>
    <row r="177" spans="1:17" ht="20.25" customHeight="1">
      <c r="A177" s="502"/>
      <c r="B177" s="469" t="s">
        <v>830</v>
      </c>
      <c r="C177" s="649"/>
      <c r="D177" s="314"/>
      <c r="E177" s="281" t="s">
        <v>17</v>
      </c>
      <c r="F177" s="282" t="s">
        <v>802</v>
      </c>
      <c r="G177" s="1295">
        <v>1</v>
      </c>
      <c r="H177" s="1296"/>
      <c r="I177" s="1297"/>
      <c r="J177" s="316">
        <v>634.75</v>
      </c>
      <c r="K177" s="323"/>
      <c r="L177" s="272"/>
      <c r="M177" s="152"/>
      <c r="N177" s="149"/>
      <c r="O177" s="40"/>
      <c r="P177" s="23"/>
      <c r="Q177" s="149"/>
    </row>
    <row r="178" spans="1:17" ht="23.25" customHeight="1">
      <c r="A178" s="502" t="s">
        <v>546</v>
      </c>
      <c r="B178" s="843" t="s">
        <v>602</v>
      </c>
      <c r="C178" s="649"/>
      <c r="D178" s="314"/>
      <c r="E178" s="325"/>
      <c r="F178" s="318"/>
      <c r="G178" s="1181">
        <v>164</v>
      </c>
      <c r="H178" s="354"/>
      <c r="I178" s="1191">
        <v>8</v>
      </c>
      <c r="J178" s="360">
        <f>J179+J180</f>
        <v>29530.63</v>
      </c>
      <c r="K178" s="323"/>
      <c r="L178" s="272"/>
      <c r="M178" s="152"/>
      <c r="N178" s="149"/>
      <c r="O178" s="40"/>
      <c r="P178" s="23"/>
      <c r="Q178" s="149"/>
    </row>
    <row r="179" spans="1:17" ht="20.25" customHeight="1">
      <c r="A179" s="502"/>
      <c r="B179" s="792" t="s">
        <v>829</v>
      </c>
      <c r="C179" s="649"/>
      <c r="D179" s="314"/>
      <c r="E179" s="281" t="s">
        <v>793</v>
      </c>
      <c r="F179" s="318"/>
      <c r="G179" s="1182">
        <v>164</v>
      </c>
      <c r="H179" s="356"/>
      <c r="I179" s="1204">
        <v>8</v>
      </c>
      <c r="J179" s="272">
        <v>29054.38</v>
      </c>
      <c r="K179" s="323"/>
      <c r="L179" s="272"/>
      <c r="M179" s="152"/>
      <c r="N179" s="149"/>
      <c r="O179" s="40"/>
      <c r="P179" s="23"/>
      <c r="Q179" s="149"/>
    </row>
    <row r="180" spans="1:17" ht="20.25" customHeight="1">
      <c r="A180" s="502"/>
      <c r="B180" s="469" t="s">
        <v>830</v>
      </c>
      <c r="C180" s="649"/>
      <c r="D180" s="314"/>
      <c r="E180" s="281" t="s">
        <v>17</v>
      </c>
      <c r="F180" s="318"/>
      <c r="G180" s="1295">
        <v>1</v>
      </c>
      <c r="H180" s="1296"/>
      <c r="I180" s="1297"/>
      <c r="J180" s="316">
        <v>476.25</v>
      </c>
      <c r="K180" s="323"/>
      <c r="L180" s="272"/>
      <c r="M180" s="152"/>
      <c r="N180" s="149"/>
      <c r="O180" s="40"/>
      <c r="P180" s="23"/>
      <c r="Q180" s="149"/>
    </row>
    <row r="181" spans="1:17" ht="26.25" customHeight="1">
      <c r="A181" s="502" t="s">
        <v>547</v>
      </c>
      <c r="B181" s="843" t="s">
        <v>543</v>
      </c>
      <c r="C181" s="649"/>
      <c r="D181" s="280"/>
      <c r="E181" s="325"/>
      <c r="F181" s="318"/>
      <c r="G181" s="1196">
        <v>1393</v>
      </c>
      <c r="H181" s="354"/>
      <c r="I181" s="1191">
        <v>40</v>
      </c>
      <c r="J181" s="360">
        <f>J182+J183</f>
        <v>164914.41</v>
      </c>
      <c r="K181" s="272"/>
      <c r="L181" s="272"/>
      <c r="M181" s="152"/>
      <c r="N181" s="149"/>
      <c r="O181" s="40"/>
      <c r="P181" s="23"/>
      <c r="Q181" s="149"/>
    </row>
    <row r="182" spans="1:17" ht="20.25" customHeight="1">
      <c r="A182" s="502"/>
      <c r="B182" s="469" t="s">
        <v>829</v>
      </c>
      <c r="C182" s="279"/>
      <c r="D182" s="836"/>
      <c r="E182" s="281" t="s">
        <v>793</v>
      </c>
      <c r="F182" s="318"/>
      <c r="G182" s="1197">
        <v>1393</v>
      </c>
      <c r="H182" s="356"/>
      <c r="I182" s="1192">
        <v>40</v>
      </c>
      <c r="J182" s="272">
        <v>162377.27</v>
      </c>
      <c r="K182" s="272"/>
      <c r="L182" s="272"/>
      <c r="M182" s="152"/>
      <c r="N182" s="149"/>
      <c r="O182" s="40"/>
      <c r="P182" s="23"/>
      <c r="Q182" s="149"/>
    </row>
    <row r="183" spans="1:17" ht="20.25" customHeight="1">
      <c r="A183" s="502"/>
      <c r="B183" s="469" t="s">
        <v>830</v>
      </c>
      <c r="C183" s="279"/>
      <c r="D183" s="280"/>
      <c r="E183" s="281" t="s">
        <v>17</v>
      </c>
      <c r="F183" s="318"/>
      <c r="G183" s="1118"/>
      <c r="H183" s="356"/>
      <c r="I183" s="357"/>
      <c r="J183" s="272">
        <v>2537.14</v>
      </c>
      <c r="K183" s="272"/>
      <c r="L183" s="272"/>
      <c r="M183" s="152"/>
      <c r="N183" s="149"/>
      <c r="O183" s="40"/>
      <c r="P183" s="23"/>
      <c r="Q183" s="149"/>
    </row>
    <row r="184" spans="1:17" ht="20.25" customHeight="1">
      <c r="A184" s="502" t="s">
        <v>548</v>
      </c>
      <c r="B184" s="1131" t="s">
        <v>549</v>
      </c>
      <c r="C184" s="313"/>
      <c r="D184" s="836"/>
      <c r="E184" s="325"/>
      <c r="F184" s="318"/>
      <c r="G184" s="1181">
        <v>654</v>
      </c>
      <c r="H184" s="354"/>
      <c r="I184" s="1203">
        <v>21</v>
      </c>
      <c r="J184" s="498">
        <f>J185+J186</f>
        <v>96144.18</v>
      </c>
      <c r="K184" s="316"/>
      <c r="L184" s="272"/>
      <c r="M184" s="152"/>
      <c r="N184" s="149"/>
      <c r="O184" s="40"/>
      <c r="P184" s="23"/>
      <c r="Q184" s="149"/>
    </row>
    <row r="185" spans="1:17" ht="20.25" customHeight="1">
      <c r="A185" s="502"/>
      <c r="B185" s="469" t="s">
        <v>829</v>
      </c>
      <c r="C185" s="279"/>
      <c r="D185" s="836"/>
      <c r="E185" s="281" t="s">
        <v>793</v>
      </c>
      <c r="F185" s="318"/>
      <c r="G185" s="1182">
        <v>654</v>
      </c>
      <c r="H185" s="356"/>
      <c r="I185" s="1205">
        <v>21</v>
      </c>
      <c r="J185" s="272">
        <v>94592.28</v>
      </c>
      <c r="K185" s="272"/>
      <c r="L185" s="272"/>
      <c r="M185" s="152"/>
      <c r="N185" s="149"/>
      <c r="O185" s="40"/>
      <c r="P185" s="23"/>
      <c r="Q185" s="149"/>
    </row>
    <row r="186" spans="1:17" ht="20.25" customHeight="1">
      <c r="A186" s="502"/>
      <c r="B186" s="469" t="s">
        <v>830</v>
      </c>
      <c r="C186" s="279"/>
      <c r="D186" s="836"/>
      <c r="E186" s="281" t="s">
        <v>17</v>
      </c>
      <c r="F186" s="318"/>
      <c r="G186" s="1258">
        <v>1</v>
      </c>
      <c r="H186" s="1259"/>
      <c r="I186" s="1248"/>
      <c r="J186" s="272">
        <v>1551.9</v>
      </c>
      <c r="K186" s="272"/>
      <c r="L186" s="272"/>
      <c r="M186" s="152"/>
      <c r="N186" s="149"/>
      <c r="O186" s="40"/>
      <c r="P186" s="23"/>
      <c r="Q186" s="149"/>
    </row>
    <row r="187" spans="1:17" ht="20.25" customHeight="1">
      <c r="A187" s="502" t="s">
        <v>621</v>
      </c>
      <c r="B187" s="473" t="s">
        <v>622</v>
      </c>
      <c r="C187" s="313"/>
      <c r="D187" s="836"/>
      <c r="E187" s="325"/>
      <c r="F187" s="318"/>
      <c r="G187" s="1197">
        <v>182.8</v>
      </c>
      <c r="H187" s="356"/>
      <c r="I187" s="1205">
        <v>4</v>
      </c>
      <c r="J187" s="498">
        <f>J188+J189</f>
        <v>19035.82</v>
      </c>
      <c r="K187" s="316"/>
      <c r="L187" s="272"/>
      <c r="M187" s="152"/>
      <c r="N187" s="149"/>
      <c r="O187" s="40"/>
      <c r="P187" s="23"/>
      <c r="Q187" s="149"/>
    </row>
    <row r="188" spans="1:17" ht="20.25" customHeight="1">
      <c r="A188" s="502"/>
      <c r="B188" s="469" t="s">
        <v>829</v>
      </c>
      <c r="C188" s="279"/>
      <c r="D188" s="836"/>
      <c r="E188" s="281" t="s">
        <v>793</v>
      </c>
      <c r="F188" s="318"/>
      <c r="G188" s="1197">
        <v>182.8</v>
      </c>
      <c r="H188" s="356"/>
      <c r="I188" s="1205">
        <v>4</v>
      </c>
      <c r="J188" s="272">
        <v>18728.56</v>
      </c>
      <c r="K188" s="272"/>
      <c r="L188" s="272"/>
      <c r="M188" s="152"/>
      <c r="N188" s="149"/>
      <c r="O188" s="40"/>
      <c r="P188" s="23"/>
      <c r="Q188" s="149"/>
    </row>
    <row r="189" spans="1:17" ht="20.25" customHeight="1">
      <c r="A189" s="502"/>
      <c r="B189" s="469" t="s">
        <v>830</v>
      </c>
      <c r="C189" s="279"/>
      <c r="D189" s="836"/>
      <c r="E189" s="281" t="s">
        <v>17</v>
      </c>
      <c r="F189" s="318"/>
      <c r="G189" s="1258">
        <v>1</v>
      </c>
      <c r="H189" s="1259"/>
      <c r="I189" s="1248"/>
      <c r="J189" s="316">
        <v>307.26</v>
      </c>
      <c r="K189" s="316"/>
      <c r="L189" s="272"/>
      <c r="M189" s="152"/>
      <c r="N189" s="149"/>
      <c r="O189" s="40"/>
      <c r="P189" s="23"/>
      <c r="Q189" s="149"/>
    </row>
    <row r="190" spans="1:17" ht="20.25" customHeight="1">
      <c r="A190" s="502" t="s">
        <v>623</v>
      </c>
      <c r="B190" s="473" t="s">
        <v>624</v>
      </c>
      <c r="C190" s="649"/>
      <c r="D190" s="836"/>
      <c r="E190" s="325"/>
      <c r="F190" s="318"/>
      <c r="G190" s="1197">
        <v>496.6</v>
      </c>
      <c r="H190" s="356"/>
      <c r="I190" s="1192">
        <v>10</v>
      </c>
      <c r="J190" s="360">
        <f>J191+J192</f>
        <v>50263.21</v>
      </c>
      <c r="K190" s="272"/>
      <c r="L190" s="272"/>
      <c r="M190" s="152"/>
      <c r="N190" s="149"/>
      <c r="O190" s="40"/>
      <c r="P190" s="23"/>
      <c r="Q190" s="149"/>
    </row>
    <row r="191" spans="1:17" ht="20.25" customHeight="1">
      <c r="A191" s="502"/>
      <c r="B191" s="469" t="s">
        <v>829</v>
      </c>
      <c r="C191" s="279"/>
      <c r="D191" s="836"/>
      <c r="E191" s="281" t="s">
        <v>793</v>
      </c>
      <c r="F191" s="318"/>
      <c r="G191" s="1197">
        <v>496.6</v>
      </c>
      <c r="H191" s="356"/>
      <c r="I191" s="1192">
        <v>10</v>
      </c>
      <c r="J191" s="316">
        <v>49451.88</v>
      </c>
      <c r="K191" s="316"/>
      <c r="L191" s="272"/>
      <c r="M191" s="152"/>
      <c r="N191" s="149"/>
      <c r="O191" s="40"/>
      <c r="P191" s="23"/>
      <c r="Q191" s="149"/>
    </row>
    <row r="192" spans="1:17" ht="20.25" customHeight="1">
      <c r="A192" s="502"/>
      <c r="B192" s="469" t="s">
        <v>830</v>
      </c>
      <c r="C192" s="279"/>
      <c r="D192" s="836"/>
      <c r="E192" s="281" t="s">
        <v>17</v>
      </c>
      <c r="F192" s="318"/>
      <c r="G192" s="1258">
        <v>1</v>
      </c>
      <c r="H192" s="1259"/>
      <c r="I192" s="1248"/>
      <c r="J192" s="272">
        <v>811.33</v>
      </c>
      <c r="K192" s="272"/>
      <c r="L192" s="272"/>
      <c r="M192" s="152"/>
      <c r="N192" s="149"/>
      <c r="O192" s="40"/>
      <c r="P192" s="23"/>
      <c r="Q192" s="149"/>
    </row>
    <row r="193" spans="1:17" ht="20.25" customHeight="1">
      <c r="A193" s="879">
        <v>8</v>
      </c>
      <c r="B193" s="1119" t="s">
        <v>827</v>
      </c>
      <c r="C193" s="326">
        <v>100203</v>
      </c>
      <c r="D193" s="258">
        <v>2240</v>
      </c>
      <c r="E193" s="336"/>
      <c r="F193" s="328" t="s">
        <v>713</v>
      </c>
      <c r="G193" s="1227">
        <v>32</v>
      </c>
      <c r="H193" s="1228"/>
      <c r="I193" s="1229"/>
      <c r="J193" s="329">
        <f>J194+J197+J200+J203+J206+J209+J212+J215+J218+J221+J224+J227+J230+J233+J236+J239+J242+J245+J248+J251+J254+J257+J260+J263+J266+J269+J272+J275+J278+J281+J284+J287</f>
        <v>537595.74</v>
      </c>
      <c r="K193" s="235"/>
      <c r="L193" s="272"/>
      <c r="M193" s="152"/>
      <c r="N193" s="149"/>
      <c r="O193" s="23"/>
      <c r="P193" s="23"/>
      <c r="Q193" s="149"/>
    </row>
    <row r="194" spans="1:17" ht="18.75" customHeight="1">
      <c r="A194" s="370" t="s">
        <v>828</v>
      </c>
      <c r="B194" s="469" t="s">
        <v>913</v>
      </c>
      <c r="C194" s="281"/>
      <c r="D194" s="340"/>
      <c r="E194" s="281"/>
      <c r="F194" s="530" t="s">
        <v>713</v>
      </c>
      <c r="G194" s="1224">
        <v>1</v>
      </c>
      <c r="H194" s="1225"/>
      <c r="I194" s="1226"/>
      <c r="J194" s="360">
        <f>J195+J196</f>
        <v>5960.599999999999</v>
      </c>
      <c r="K194" s="360"/>
      <c r="L194" s="272"/>
      <c r="M194" s="152"/>
      <c r="N194" s="149"/>
      <c r="O194" s="23"/>
      <c r="P194" s="23"/>
      <c r="Q194" s="149"/>
    </row>
    <row r="195" spans="1:17" ht="18.75" customHeight="1">
      <c r="A195" s="504"/>
      <c r="B195" s="469" t="s">
        <v>829</v>
      </c>
      <c r="C195" s="281"/>
      <c r="D195" s="340"/>
      <c r="E195" s="317" t="s">
        <v>824</v>
      </c>
      <c r="F195" s="318" t="s">
        <v>713</v>
      </c>
      <c r="G195" s="1258">
        <v>1</v>
      </c>
      <c r="H195" s="1259"/>
      <c r="I195" s="1248"/>
      <c r="J195" s="272">
        <v>5860.49</v>
      </c>
      <c r="K195" s="272"/>
      <c r="L195" s="272"/>
      <c r="M195" s="152"/>
      <c r="N195" s="149"/>
      <c r="O195" s="23"/>
      <c r="P195" s="23"/>
      <c r="Q195" s="149"/>
    </row>
    <row r="196" spans="1:17" ht="18.75" customHeight="1">
      <c r="A196" s="502"/>
      <c r="B196" s="469" t="s">
        <v>830</v>
      </c>
      <c r="C196" s="281"/>
      <c r="D196" s="340"/>
      <c r="E196" s="281" t="s">
        <v>799</v>
      </c>
      <c r="F196" s="282" t="s">
        <v>802</v>
      </c>
      <c r="G196" s="1258">
        <v>1</v>
      </c>
      <c r="H196" s="1259"/>
      <c r="I196" s="1248"/>
      <c r="J196" s="272">
        <v>100.11</v>
      </c>
      <c r="K196" s="272"/>
      <c r="L196" s="272"/>
      <c r="M196" s="152"/>
      <c r="N196" s="149"/>
      <c r="O196" s="23"/>
      <c r="P196" s="23"/>
      <c r="Q196" s="149"/>
    </row>
    <row r="197" spans="1:17" ht="18.75" customHeight="1">
      <c r="A197" s="502" t="s">
        <v>832</v>
      </c>
      <c r="B197" s="469" t="s">
        <v>914</v>
      </c>
      <c r="C197" s="281"/>
      <c r="D197" s="340"/>
      <c r="E197" s="325"/>
      <c r="F197" s="530" t="s">
        <v>713</v>
      </c>
      <c r="G197" s="1224">
        <v>1</v>
      </c>
      <c r="H197" s="1225"/>
      <c r="I197" s="1226"/>
      <c r="J197" s="360">
        <f>J198+J199</f>
        <v>5540.64</v>
      </c>
      <c r="K197" s="360"/>
      <c r="L197" s="272"/>
      <c r="M197" s="152"/>
      <c r="N197" s="149"/>
      <c r="O197" s="40"/>
      <c r="P197" s="23"/>
      <c r="Q197" s="23"/>
    </row>
    <row r="198" spans="1:17" ht="18.75" customHeight="1">
      <c r="A198" s="333"/>
      <c r="B198" s="469" t="s">
        <v>829</v>
      </c>
      <c r="C198" s="281"/>
      <c r="D198" s="340"/>
      <c r="E198" s="317" t="s">
        <v>824</v>
      </c>
      <c r="F198" s="318" t="s">
        <v>713</v>
      </c>
      <c r="G198" s="1258">
        <v>1</v>
      </c>
      <c r="H198" s="1259"/>
      <c r="I198" s="1248"/>
      <c r="J198" s="272">
        <v>5447.59</v>
      </c>
      <c r="K198" s="272"/>
      <c r="L198" s="272"/>
      <c r="M198" s="152"/>
      <c r="N198" s="164"/>
      <c r="O198" s="86"/>
      <c r="P198" s="23"/>
      <c r="Q198" s="23"/>
    </row>
    <row r="199" spans="1:17" ht="18.75" customHeight="1">
      <c r="A199" s="502"/>
      <c r="B199" s="469" t="s">
        <v>830</v>
      </c>
      <c r="C199" s="281"/>
      <c r="D199" s="340"/>
      <c r="E199" s="281" t="s">
        <v>831</v>
      </c>
      <c r="F199" s="282" t="s">
        <v>802</v>
      </c>
      <c r="G199" s="1258">
        <v>1</v>
      </c>
      <c r="H199" s="1259"/>
      <c r="I199" s="1248"/>
      <c r="J199" s="272">
        <v>93.05</v>
      </c>
      <c r="K199" s="272"/>
      <c r="L199" s="272"/>
      <c r="M199" s="152"/>
      <c r="N199" s="164"/>
      <c r="O199" s="86"/>
      <c r="P199" s="23"/>
      <c r="Q199" s="23"/>
    </row>
    <row r="200" spans="1:17" ht="18.75" customHeight="1">
      <c r="A200" s="502" t="s">
        <v>833</v>
      </c>
      <c r="B200" s="471" t="s">
        <v>915</v>
      </c>
      <c r="C200" s="315"/>
      <c r="D200" s="342"/>
      <c r="E200" s="315"/>
      <c r="F200" s="530" t="s">
        <v>713</v>
      </c>
      <c r="G200" s="1224">
        <v>1</v>
      </c>
      <c r="H200" s="1225"/>
      <c r="I200" s="1226"/>
      <c r="J200" s="360">
        <f>J201+J202</f>
        <v>12599.44</v>
      </c>
      <c r="K200" s="360"/>
      <c r="L200" s="272"/>
      <c r="M200" s="152"/>
      <c r="N200" s="164"/>
      <c r="O200" s="86"/>
      <c r="P200" s="23"/>
      <c r="Q200" s="23"/>
    </row>
    <row r="201" spans="1:17" ht="18.75" customHeight="1">
      <c r="A201" s="319"/>
      <c r="B201" s="469" t="s">
        <v>829</v>
      </c>
      <c r="C201" s="281"/>
      <c r="D201" s="340"/>
      <c r="E201" s="317" t="s">
        <v>824</v>
      </c>
      <c r="F201" s="282" t="s">
        <v>713</v>
      </c>
      <c r="G201" s="1258">
        <v>1</v>
      </c>
      <c r="H201" s="1259"/>
      <c r="I201" s="1248"/>
      <c r="J201" s="272">
        <v>12388.19</v>
      </c>
      <c r="K201" s="272"/>
      <c r="L201" s="272"/>
      <c r="M201" s="152"/>
      <c r="N201" s="164"/>
      <c r="O201" s="86"/>
      <c r="P201" s="23"/>
      <c r="Q201" s="23"/>
    </row>
    <row r="202" spans="1:17" ht="18.75" customHeight="1">
      <c r="A202" s="502"/>
      <c r="B202" s="469" t="s">
        <v>830</v>
      </c>
      <c r="C202" s="281"/>
      <c r="D202" s="340"/>
      <c r="E202" s="281" t="s">
        <v>799</v>
      </c>
      <c r="F202" s="282" t="s">
        <v>802</v>
      </c>
      <c r="G202" s="1289">
        <v>1</v>
      </c>
      <c r="H202" s="1290"/>
      <c r="I202" s="1291"/>
      <c r="J202" s="323">
        <v>211.25</v>
      </c>
      <c r="K202" s="323"/>
      <c r="L202" s="323"/>
      <c r="M202" s="152"/>
      <c r="N202" s="164"/>
      <c r="O202" s="86"/>
      <c r="P202" s="23"/>
      <c r="Q202" s="23"/>
    </row>
    <row r="203" spans="1:17" ht="18.75" customHeight="1">
      <c r="A203" s="370" t="s">
        <v>13</v>
      </c>
      <c r="B203" s="469" t="s">
        <v>14</v>
      </c>
      <c r="C203" s="281"/>
      <c r="D203" s="340"/>
      <c r="E203" s="281"/>
      <c r="F203" s="530" t="s">
        <v>713</v>
      </c>
      <c r="G203" s="1224">
        <v>1</v>
      </c>
      <c r="H203" s="1225"/>
      <c r="I203" s="1226"/>
      <c r="J203" s="360">
        <f>J204+J205</f>
        <v>17935.49</v>
      </c>
      <c r="K203" s="360"/>
      <c r="L203" s="272"/>
      <c r="M203" s="152"/>
      <c r="N203" s="164"/>
      <c r="O203" s="86"/>
      <c r="P203" s="23"/>
      <c r="Q203" s="23"/>
    </row>
    <row r="204" spans="1:17" ht="16.5" customHeight="1">
      <c r="A204" s="319"/>
      <c r="B204" s="469" t="s">
        <v>829</v>
      </c>
      <c r="C204" s="281"/>
      <c r="D204" s="340"/>
      <c r="E204" s="317" t="s">
        <v>824</v>
      </c>
      <c r="F204" s="282" t="s">
        <v>713</v>
      </c>
      <c r="G204" s="1258">
        <v>1</v>
      </c>
      <c r="H204" s="1259"/>
      <c r="I204" s="1248"/>
      <c r="J204" s="323">
        <v>17633.84</v>
      </c>
      <c r="K204" s="323"/>
      <c r="L204" s="323"/>
      <c r="M204" s="152"/>
      <c r="N204" s="164"/>
      <c r="O204" s="86"/>
      <c r="P204" s="23"/>
      <c r="Q204" s="23"/>
    </row>
    <row r="205" spans="1:17" ht="18" customHeight="1">
      <c r="A205" s="502"/>
      <c r="B205" s="469" t="s">
        <v>830</v>
      </c>
      <c r="C205" s="281"/>
      <c r="D205" s="340"/>
      <c r="E205" s="281" t="s">
        <v>17</v>
      </c>
      <c r="F205" s="282" t="s">
        <v>802</v>
      </c>
      <c r="G205" s="1258">
        <v>1</v>
      </c>
      <c r="H205" s="1259"/>
      <c r="I205" s="1248"/>
      <c r="J205" s="272">
        <v>301.65</v>
      </c>
      <c r="K205" s="272"/>
      <c r="L205" s="272"/>
      <c r="M205" s="152"/>
      <c r="N205" s="164"/>
      <c r="O205" s="86"/>
      <c r="P205" s="23"/>
      <c r="Q205" s="23"/>
    </row>
    <row r="206" spans="1:17" ht="18.75" customHeight="1">
      <c r="A206" s="502" t="s">
        <v>15</v>
      </c>
      <c r="B206" s="469" t="s">
        <v>16</v>
      </c>
      <c r="C206" s="281"/>
      <c r="D206" s="340"/>
      <c r="E206" s="281"/>
      <c r="F206" s="530" t="s">
        <v>713</v>
      </c>
      <c r="G206" s="1224">
        <v>1</v>
      </c>
      <c r="H206" s="1225"/>
      <c r="I206" s="1226"/>
      <c r="J206" s="360">
        <f>J207+J208</f>
        <v>16958.489999999998</v>
      </c>
      <c r="K206" s="360"/>
      <c r="L206" s="272"/>
      <c r="M206" s="152"/>
      <c r="N206" s="164"/>
      <c r="O206" s="86"/>
      <c r="P206" s="23"/>
      <c r="Q206" s="23"/>
    </row>
    <row r="207" spans="1:17" ht="18" customHeight="1">
      <c r="A207" s="504"/>
      <c r="B207" s="469" t="s">
        <v>829</v>
      </c>
      <c r="C207" s="281"/>
      <c r="D207" s="340"/>
      <c r="E207" s="317" t="s">
        <v>824</v>
      </c>
      <c r="F207" s="282" t="s">
        <v>713</v>
      </c>
      <c r="G207" s="1258">
        <v>1</v>
      </c>
      <c r="H207" s="1259"/>
      <c r="I207" s="1248"/>
      <c r="J207" s="323">
        <v>16673.87</v>
      </c>
      <c r="K207" s="323"/>
      <c r="L207" s="323"/>
      <c r="M207" s="152"/>
      <c r="N207" s="164"/>
      <c r="O207" s="86"/>
      <c r="P207" s="23"/>
      <c r="Q207" s="23"/>
    </row>
    <row r="208" spans="1:17" ht="18" customHeight="1">
      <c r="A208" s="502"/>
      <c r="B208" s="469" t="s">
        <v>830</v>
      </c>
      <c r="C208" s="281"/>
      <c r="D208" s="340"/>
      <c r="E208" s="281" t="s">
        <v>17</v>
      </c>
      <c r="F208" s="282" t="s">
        <v>802</v>
      </c>
      <c r="G208" s="1258">
        <v>1</v>
      </c>
      <c r="H208" s="1259"/>
      <c r="I208" s="1248"/>
      <c r="J208" s="272">
        <v>284.62</v>
      </c>
      <c r="K208" s="272"/>
      <c r="L208" s="272"/>
      <c r="M208" s="152"/>
      <c r="N208" s="164"/>
      <c r="O208" s="86"/>
      <c r="P208" s="23"/>
      <c r="Q208" s="23"/>
    </row>
    <row r="209" spans="1:17" ht="18" customHeight="1">
      <c r="A209" s="370" t="s">
        <v>62</v>
      </c>
      <c r="B209" s="470" t="s">
        <v>63</v>
      </c>
      <c r="C209" s="322"/>
      <c r="D209" s="1105"/>
      <c r="E209" s="322"/>
      <c r="F209" s="530" t="s">
        <v>713</v>
      </c>
      <c r="G209" s="1224">
        <v>1</v>
      </c>
      <c r="H209" s="1225"/>
      <c r="I209" s="1226"/>
      <c r="J209" s="531">
        <f>J210+J211</f>
        <v>23066.03</v>
      </c>
      <c r="K209" s="531"/>
      <c r="L209" s="323"/>
      <c r="M209" s="152"/>
      <c r="N209" s="164"/>
      <c r="O209" s="86"/>
      <c r="P209" s="23"/>
      <c r="Q209" s="23"/>
    </row>
    <row r="210" spans="1:17" ht="17.25" customHeight="1">
      <c r="A210" s="319"/>
      <c r="B210" s="469" t="s">
        <v>829</v>
      </c>
      <c r="C210" s="281"/>
      <c r="D210" s="340"/>
      <c r="E210" s="317" t="s">
        <v>824</v>
      </c>
      <c r="F210" s="282" t="s">
        <v>713</v>
      </c>
      <c r="G210" s="1258">
        <v>1</v>
      </c>
      <c r="H210" s="1259"/>
      <c r="I210" s="1248"/>
      <c r="J210" s="323">
        <v>22678.03</v>
      </c>
      <c r="K210" s="323"/>
      <c r="L210" s="323"/>
      <c r="M210" s="152"/>
      <c r="N210" s="164"/>
      <c r="O210" s="86"/>
      <c r="P210" s="23"/>
      <c r="Q210" s="23"/>
    </row>
    <row r="211" spans="1:17" ht="17.25" customHeight="1">
      <c r="A211" s="502"/>
      <c r="B211" s="469" t="s">
        <v>830</v>
      </c>
      <c r="C211" s="281"/>
      <c r="D211" s="340"/>
      <c r="E211" s="281" t="s">
        <v>17</v>
      </c>
      <c r="F211" s="282" t="s">
        <v>802</v>
      </c>
      <c r="G211" s="1258">
        <v>1</v>
      </c>
      <c r="H211" s="1259"/>
      <c r="I211" s="1248"/>
      <c r="J211" s="272">
        <v>388</v>
      </c>
      <c r="K211" s="272"/>
      <c r="L211" s="272"/>
      <c r="M211" s="152"/>
      <c r="N211" s="164"/>
      <c r="O211" s="86"/>
      <c r="P211" s="23"/>
      <c r="Q211" s="23"/>
    </row>
    <row r="212" spans="1:17" ht="17.25" customHeight="1">
      <c r="A212" s="502" t="s">
        <v>134</v>
      </c>
      <c r="B212" s="469" t="s">
        <v>135</v>
      </c>
      <c r="C212" s="281"/>
      <c r="D212" s="340"/>
      <c r="E212" s="317"/>
      <c r="F212" s="530" t="s">
        <v>713</v>
      </c>
      <c r="G212" s="1224">
        <v>1</v>
      </c>
      <c r="H212" s="1225"/>
      <c r="I212" s="1226"/>
      <c r="J212" s="531">
        <f>J213+J214</f>
        <v>23117.09</v>
      </c>
      <c r="K212" s="531"/>
      <c r="L212" s="323"/>
      <c r="M212" s="152"/>
      <c r="N212" s="164"/>
      <c r="O212" s="86"/>
      <c r="P212" s="23"/>
      <c r="Q212" s="23"/>
    </row>
    <row r="213" spans="1:17" ht="17.25" customHeight="1">
      <c r="A213" s="319"/>
      <c r="B213" s="469" t="s">
        <v>829</v>
      </c>
      <c r="C213" s="281"/>
      <c r="D213" s="340"/>
      <c r="E213" s="317" t="s">
        <v>824</v>
      </c>
      <c r="F213" s="282" t="s">
        <v>713</v>
      </c>
      <c r="G213" s="1258">
        <v>1</v>
      </c>
      <c r="H213" s="1259"/>
      <c r="I213" s="1248"/>
      <c r="J213" s="323">
        <v>22727.9</v>
      </c>
      <c r="K213" s="323"/>
      <c r="L213" s="323"/>
      <c r="M213" s="152"/>
      <c r="N213" s="164"/>
      <c r="O213" s="86"/>
      <c r="P213" s="23"/>
      <c r="Q213" s="23"/>
    </row>
    <row r="214" spans="1:17" ht="17.25" customHeight="1">
      <c r="A214" s="502"/>
      <c r="B214" s="469" t="s">
        <v>830</v>
      </c>
      <c r="C214" s="281"/>
      <c r="D214" s="340"/>
      <c r="E214" s="281" t="s">
        <v>17</v>
      </c>
      <c r="F214" s="282" t="s">
        <v>802</v>
      </c>
      <c r="G214" s="1289">
        <v>1</v>
      </c>
      <c r="H214" s="1290"/>
      <c r="I214" s="1291"/>
      <c r="J214" s="323">
        <v>389.19</v>
      </c>
      <c r="K214" s="323"/>
      <c r="L214" s="323"/>
      <c r="M214" s="152"/>
      <c r="N214" s="164"/>
      <c r="O214" s="86"/>
      <c r="P214" s="23"/>
      <c r="Q214" s="23"/>
    </row>
    <row r="215" spans="1:17" ht="17.25" customHeight="1">
      <c r="A215" s="502" t="s">
        <v>147</v>
      </c>
      <c r="B215" s="469" t="s">
        <v>148</v>
      </c>
      <c r="C215" s="281"/>
      <c r="D215" s="340"/>
      <c r="E215" s="317"/>
      <c r="F215" s="530" t="s">
        <v>713</v>
      </c>
      <c r="G215" s="1224">
        <v>1</v>
      </c>
      <c r="H215" s="1225"/>
      <c r="I215" s="1226"/>
      <c r="J215" s="531">
        <f>J216+J217</f>
        <v>9316.13</v>
      </c>
      <c r="K215" s="531"/>
      <c r="L215" s="323"/>
      <c r="M215" s="152"/>
      <c r="N215" s="164"/>
      <c r="O215" s="86"/>
      <c r="P215" s="23"/>
      <c r="Q215" s="23"/>
    </row>
    <row r="216" spans="1:17" ht="17.25" customHeight="1">
      <c r="A216" s="319"/>
      <c r="B216" s="469" t="s">
        <v>829</v>
      </c>
      <c r="C216" s="281"/>
      <c r="D216" s="340"/>
      <c r="E216" s="317" t="s">
        <v>824</v>
      </c>
      <c r="F216" s="282" t="s">
        <v>713</v>
      </c>
      <c r="G216" s="1258">
        <v>1</v>
      </c>
      <c r="H216" s="1259"/>
      <c r="I216" s="1248"/>
      <c r="J216" s="272">
        <v>9159.08</v>
      </c>
      <c r="K216" s="272"/>
      <c r="L216" s="272"/>
      <c r="M216" s="152"/>
      <c r="N216" s="164"/>
      <c r="O216" s="86"/>
      <c r="P216" s="23"/>
      <c r="Q216" s="23"/>
    </row>
    <row r="217" spans="1:17" ht="17.25" customHeight="1">
      <c r="A217" s="502"/>
      <c r="B217" s="469" t="s">
        <v>830</v>
      </c>
      <c r="C217" s="281"/>
      <c r="D217" s="340"/>
      <c r="E217" s="281" t="s">
        <v>17</v>
      </c>
      <c r="F217" s="282" t="s">
        <v>802</v>
      </c>
      <c r="G217" s="1289">
        <v>1</v>
      </c>
      <c r="H217" s="1290"/>
      <c r="I217" s="1291"/>
      <c r="J217" s="323">
        <v>157.05</v>
      </c>
      <c r="K217" s="323"/>
      <c r="L217" s="323"/>
      <c r="M217" s="152"/>
      <c r="N217" s="164"/>
      <c r="O217" s="86"/>
      <c r="P217" s="23"/>
      <c r="Q217" s="23"/>
    </row>
    <row r="218" spans="1:17" ht="17.25" customHeight="1">
      <c r="A218" s="502" t="s">
        <v>149</v>
      </c>
      <c r="B218" s="469" t="s">
        <v>150</v>
      </c>
      <c r="C218" s="281"/>
      <c r="D218" s="340"/>
      <c r="E218" s="317"/>
      <c r="F218" s="530" t="s">
        <v>713</v>
      </c>
      <c r="G218" s="1224">
        <v>1</v>
      </c>
      <c r="H218" s="1225"/>
      <c r="I218" s="1226"/>
      <c r="J218" s="531">
        <f>J219+J220</f>
        <v>9316.13</v>
      </c>
      <c r="K218" s="531"/>
      <c r="L218" s="323"/>
      <c r="M218" s="152"/>
      <c r="N218" s="164"/>
      <c r="O218" s="86"/>
      <c r="P218" s="23"/>
      <c r="Q218" s="23"/>
    </row>
    <row r="219" spans="1:17" ht="17.25" customHeight="1">
      <c r="A219" s="504"/>
      <c r="B219" s="469" t="s">
        <v>829</v>
      </c>
      <c r="C219" s="281"/>
      <c r="D219" s="340"/>
      <c r="E219" s="317" t="s">
        <v>824</v>
      </c>
      <c r="F219" s="282" t="s">
        <v>713</v>
      </c>
      <c r="G219" s="1258">
        <v>1</v>
      </c>
      <c r="H219" s="1259"/>
      <c r="I219" s="1248"/>
      <c r="J219" s="323">
        <v>9159.08</v>
      </c>
      <c r="K219" s="323"/>
      <c r="L219" s="323"/>
      <c r="M219" s="152"/>
      <c r="N219" s="164"/>
      <c r="O219" s="86"/>
      <c r="P219" s="23"/>
      <c r="Q219" s="23"/>
    </row>
    <row r="220" spans="1:17" ht="17.25" customHeight="1">
      <c r="A220" s="502"/>
      <c r="B220" s="469" t="s">
        <v>830</v>
      </c>
      <c r="C220" s="281"/>
      <c r="D220" s="340"/>
      <c r="E220" s="281" t="s">
        <v>17</v>
      </c>
      <c r="F220" s="282" t="s">
        <v>802</v>
      </c>
      <c r="G220" s="1289">
        <v>1</v>
      </c>
      <c r="H220" s="1290"/>
      <c r="I220" s="1291"/>
      <c r="J220" s="323">
        <v>157.05</v>
      </c>
      <c r="K220" s="323"/>
      <c r="L220" s="323"/>
      <c r="M220" s="152"/>
      <c r="N220" s="164"/>
      <c r="O220" s="86"/>
      <c r="P220" s="23"/>
      <c r="Q220" s="23"/>
    </row>
    <row r="221" spans="1:17" ht="17.25" customHeight="1">
      <c r="A221" s="502" t="s">
        <v>227</v>
      </c>
      <c r="B221" s="469" t="s">
        <v>228</v>
      </c>
      <c r="C221" s="281"/>
      <c r="D221" s="340"/>
      <c r="E221" s="317"/>
      <c r="F221" s="530" t="s">
        <v>713</v>
      </c>
      <c r="G221" s="1224">
        <v>1</v>
      </c>
      <c r="H221" s="1225"/>
      <c r="I221" s="1226"/>
      <c r="J221" s="524">
        <f>J222+J223</f>
        <v>13940.390000000001</v>
      </c>
      <c r="K221" s="524"/>
      <c r="L221" s="323"/>
      <c r="M221" s="152"/>
      <c r="N221" s="164"/>
      <c r="O221" s="86"/>
      <c r="P221" s="23"/>
      <c r="Q221" s="23"/>
    </row>
    <row r="222" spans="1:17" ht="17.25" customHeight="1">
      <c r="A222" s="319"/>
      <c r="B222" s="469" t="s">
        <v>829</v>
      </c>
      <c r="C222" s="281"/>
      <c r="D222" s="340"/>
      <c r="E222" s="317" t="s">
        <v>824</v>
      </c>
      <c r="F222" s="282" t="s">
        <v>713</v>
      </c>
      <c r="G222" s="1258">
        <v>1</v>
      </c>
      <c r="H222" s="1259"/>
      <c r="I222" s="1248"/>
      <c r="J222" s="323">
        <v>13705.36</v>
      </c>
      <c r="K222" s="323"/>
      <c r="L222" s="323"/>
      <c r="M222" s="152"/>
      <c r="N222" s="164"/>
      <c r="O222" s="86"/>
      <c r="P222" s="23"/>
      <c r="Q222" s="23"/>
    </row>
    <row r="223" spans="1:17" ht="17.25" customHeight="1">
      <c r="A223" s="502"/>
      <c r="B223" s="469" t="s">
        <v>830</v>
      </c>
      <c r="C223" s="281"/>
      <c r="D223" s="340"/>
      <c r="E223" s="281" t="s">
        <v>17</v>
      </c>
      <c r="F223" s="282" t="s">
        <v>802</v>
      </c>
      <c r="G223" s="1289">
        <v>1</v>
      </c>
      <c r="H223" s="1290"/>
      <c r="I223" s="1291"/>
      <c r="J223" s="323">
        <v>235.03</v>
      </c>
      <c r="K223" s="323"/>
      <c r="L223" s="323"/>
      <c r="M223" s="152"/>
      <c r="N223" s="164"/>
      <c r="O223" s="86"/>
      <c r="P223" s="23"/>
      <c r="Q223" s="23"/>
    </row>
    <row r="224" spans="1:17" ht="17.25" customHeight="1">
      <c r="A224" s="502" t="s">
        <v>271</v>
      </c>
      <c r="B224" s="469" t="s">
        <v>505</v>
      </c>
      <c r="C224" s="281"/>
      <c r="D224" s="340"/>
      <c r="E224" s="281"/>
      <c r="F224" s="530" t="s">
        <v>713</v>
      </c>
      <c r="G224" s="1224">
        <v>1</v>
      </c>
      <c r="H224" s="1225"/>
      <c r="I224" s="1226"/>
      <c r="J224" s="531">
        <f>J226+J225</f>
        <v>21462.960000000003</v>
      </c>
      <c r="K224" s="531"/>
      <c r="L224" s="323"/>
      <c r="M224" s="152"/>
      <c r="N224" s="164"/>
      <c r="O224" s="86"/>
      <c r="P224" s="23"/>
      <c r="Q224" s="23"/>
    </row>
    <row r="225" spans="1:17" ht="17.25" customHeight="1">
      <c r="A225" s="502"/>
      <c r="B225" s="469" t="s">
        <v>829</v>
      </c>
      <c r="C225" s="281"/>
      <c r="D225" s="340"/>
      <c r="E225" s="317" t="s">
        <v>824</v>
      </c>
      <c r="F225" s="282" t="s">
        <v>713</v>
      </c>
      <c r="G225" s="1258">
        <v>1</v>
      </c>
      <c r="H225" s="1259"/>
      <c r="I225" s="1248"/>
      <c r="J225" s="323">
        <v>21101.65</v>
      </c>
      <c r="K225" s="323"/>
      <c r="L225" s="323"/>
      <c r="M225" s="152"/>
      <c r="N225" s="164"/>
      <c r="O225" s="86"/>
      <c r="P225" s="23"/>
      <c r="Q225" s="23"/>
    </row>
    <row r="226" spans="1:17" ht="17.25" customHeight="1">
      <c r="A226" s="502"/>
      <c r="B226" s="469" t="s">
        <v>830</v>
      </c>
      <c r="C226" s="281"/>
      <c r="D226" s="340"/>
      <c r="E226" s="281" t="s">
        <v>17</v>
      </c>
      <c r="F226" s="282" t="s">
        <v>802</v>
      </c>
      <c r="G226" s="1258">
        <v>1</v>
      </c>
      <c r="H226" s="1259"/>
      <c r="I226" s="1248"/>
      <c r="J226" s="323">
        <v>361.31</v>
      </c>
      <c r="K226" s="323"/>
      <c r="L226" s="323"/>
      <c r="M226" s="152"/>
      <c r="N226" s="164"/>
      <c r="O226" s="86"/>
      <c r="P226" s="23"/>
      <c r="Q226" s="23"/>
    </row>
    <row r="227" spans="1:17" ht="17.25" customHeight="1">
      <c r="A227" s="502" t="s">
        <v>272</v>
      </c>
      <c r="B227" s="469" t="s">
        <v>273</v>
      </c>
      <c r="C227" s="281"/>
      <c r="D227" s="340"/>
      <c r="E227" s="281"/>
      <c r="F227" s="530" t="s">
        <v>713</v>
      </c>
      <c r="G227" s="1224">
        <v>1</v>
      </c>
      <c r="H227" s="1225"/>
      <c r="I227" s="1226"/>
      <c r="J227" s="531">
        <f>J228+J229</f>
        <v>14449.51</v>
      </c>
      <c r="K227" s="531"/>
      <c r="L227" s="323"/>
      <c r="M227" s="152"/>
      <c r="N227" s="164"/>
      <c r="O227" s="86"/>
      <c r="P227" s="23"/>
      <c r="Q227" s="23"/>
    </row>
    <row r="228" spans="1:17" ht="17.25" customHeight="1">
      <c r="A228" s="502"/>
      <c r="B228" s="469" t="s">
        <v>829</v>
      </c>
      <c r="C228" s="281"/>
      <c r="D228" s="340"/>
      <c r="E228" s="317" t="s">
        <v>824</v>
      </c>
      <c r="F228" s="282" t="s">
        <v>713</v>
      </c>
      <c r="G228" s="1258">
        <v>1</v>
      </c>
      <c r="H228" s="1259"/>
      <c r="I228" s="1248"/>
      <c r="J228" s="323">
        <v>14205.94</v>
      </c>
      <c r="K228" s="323"/>
      <c r="L228" s="323"/>
      <c r="M228" s="152"/>
      <c r="N228" s="164"/>
      <c r="O228" s="86"/>
      <c r="P228" s="23"/>
      <c r="Q228" s="23"/>
    </row>
    <row r="229" spans="1:17" ht="17.25" customHeight="1">
      <c r="A229" s="502"/>
      <c r="B229" s="469" t="s">
        <v>830</v>
      </c>
      <c r="C229" s="281"/>
      <c r="D229" s="340"/>
      <c r="E229" s="281" t="s">
        <v>17</v>
      </c>
      <c r="F229" s="282" t="s">
        <v>802</v>
      </c>
      <c r="G229" s="1258">
        <v>1</v>
      </c>
      <c r="H229" s="1259"/>
      <c r="I229" s="1248"/>
      <c r="J229" s="323">
        <v>243.57</v>
      </c>
      <c r="K229" s="323"/>
      <c r="L229" s="323"/>
      <c r="M229" s="152"/>
      <c r="N229" s="164"/>
      <c r="O229" s="86"/>
      <c r="P229" s="23"/>
      <c r="Q229" s="23"/>
    </row>
    <row r="230" spans="1:17" ht="17.25" customHeight="1">
      <c r="A230" s="502" t="s">
        <v>274</v>
      </c>
      <c r="B230" s="469" t="s">
        <v>383</v>
      </c>
      <c r="C230" s="281"/>
      <c r="D230" s="340"/>
      <c r="E230" s="281"/>
      <c r="F230" s="530" t="s">
        <v>713</v>
      </c>
      <c r="G230" s="1224">
        <v>1</v>
      </c>
      <c r="H230" s="1225"/>
      <c r="I230" s="1226"/>
      <c r="J230" s="531">
        <f>J231+J232</f>
        <v>13124.29</v>
      </c>
      <c r="K230" s="531"/>
      <c r="L230" s="323"/>
      <c r="M230" s="152"/>
      <c r="N230" s="164"/>
      <c r="O230" s="86"/>
      <c r="P230" s="23"/>
      <c r="Q230" s="23"/>
    </row>
    <row r="231" spans="1:17" ht="17.25" customHeight="1">
      <c r="A231" s="502"/>
      <c r="B231" s="469" t="s">
        <v>829</v>
      </c>
      <c r="C231" s="281"/>
      <c r="D231" s="340"/>
      <c r="E231" s="317" t="s">
        <v>824</v>
      </c>
      <c r="F231" s="282" t="s">
        <v>713</v>
      </c>
      <c r="G231" s="1258">
        <v>1</v>
      </c>
      <c r="H231" s="1259"/>
      <c r="I231" s="1248"/>
      <c r="J231" s="323">
        <v>12903.7</v>
      </c>
      <c r="K231" s="323"/>
      <c r="L231" s="323"/>
      <c r="M231" s="152"/>
      <c r="N231" s="164"/>
      <c r="O231" s="86"/>
      <c r="P231" s="23"/>
      <c r="Q231" s="23"/>
    </row>
    <row r="232" spans="1:17" ht="17.25" customHeight="1">
      <c r="A232" s="502"/>
      <c r="B232" s="469" t="s">
        <v>830</v>
      </c>
      <c r="C232" s="281"/>
      <c r="D232" s="340"/>
      <c r="E232" s="281" t="s">
        <v>17</v>
      </c>
      <c r="F232" s="282" t="s">
        <v>802</v>
      </c>
      <c r="G232" s="1258">
        <v>1</v>
      </c>
      <c r="H232" s="1259"/>
      <c r="I232" s="1248"/>
      <c r="J232" s="323">
        <v>220.59</v>
      </c>
      <c r="K232" s="323"/>
      <c r="L232" s="323"/>
      <c r="M232" s="152"/>
      <c r="N232" s="164"/>
      <c r="O232" s="86"/>
      <c r="P232" s="23"/>
      <c r="Q232" s="23"/>
    </row>
    <row r="233" spans="1:17" ht="17.25" customHeight="1">
      <c r="A233" s="502" t="s">
        <v>506</v>
      </c>
      <c r="B233" s="469" t="s">
        <v>507</v>
      </c>
      <c r="C233" s="281"/>
      <c r="D233" s="340"/>
      <c r="E233" s="281"/>
      <c r="F233" s="530" t="s">
        <v>713</v>
      </c>
      <c r="G233" s="1224">
        <v>1</v>
      </c>
      <c r="H233" s="1225"/>
      <c r="I233" s="1226"/>
      <c r="J233" s="531">
        <f>J234+J235</f>
        <v>25971.55</v>
      </c>
      <c r="K233" s="531"/>
      <c r="L233" s="323"/>
      <c r="M233" s="152"/>
      <c r="N233" s="164"/>
      <c r="O233" s="86"/>
      <c r="P233" s="23"/>
      <c r="Q233" s="23"/>
    </row>
    <row r="234" spans="1:17" ht="17.25" customHeight="1">
      <c r="A234" s="502"/>
      <c r="B234" s="469" t="s">
        <v>829</v>
      </c>
      <c r="C234" s="281"/>
      <c r="D234" s="340"/>
      <c r="E234" s="317" t="s">
        <v>824</v>
      </c>
      <c r="F234" s="282" t="s">
        <v>713</v>
      </c>
      <c r="G234" s="1258">
        <v>1</v>
      </c>
      <c r="H234" s="1259"/>
      <c r="I234" s="1248"/>
      <c r="J234" s="323">
        <v>25534.55</v>
      </c>
      <c r="K234" s="323"/>
      <c r="L234" s="323"/>
      <c r="M234" s="152"/>
      <c r="N234" s="164"/>
      <c r="O234" s="86"/>
      <c r="P234" s="23"/>
      <c r="Q234" s="23"/>
    </row>
    <row r="235" spans="1:17" ht="17.25" customHeight="1">
      <c r="A235" s="502"/>
      <c r="B235" s="469" t="s">
        <v>830</v>
      </c>
      <c r="C235" s="281"/>
      <c r="D235" s="340"/>
      <c r="E235" s="281" t="s">
        <v>17</v>
      </c>
      <c r="F235" s="282"/>
      <c r="G235" s="1018"/>
      <c r="H235" s="284"/>
      <c r="I235" s="1017"/>
      <c r="J235" s="323">
        <v>437</v>
      </c>
      <c r="K235" s="323"/>
      <c r="L235" s="323"/>
      <c r="M235" s="152"/>
      <c r="N235" s="164"/>
      <c r="O235" s="86"/>
      <c r="P235" s="23"/>
      <c r="Q235" s="23"/>
    </row>
    <row r="236" spans="1:17" ht="17.25" customHeight="1">
      <c r="A236" s="502" t="s">
        <v>508</v>
      </c>
      <c r="B236" s="469" t="s">
        <v>509</v>
      </c>
      <c r="C236" s="281"/>
      <c r="D236" s="340"/>
      <c r="E236" s="325"/>
      <c r="F236" s="530" t="s">
        <v>713</v>
      </c>
      <c r="G236" s="1224">
        <v>1</v>
      </c>
      <c r="H236" s="1225"/>
      <c r="I236" s="1226"/>
      <c r="J236" s="360">
        <f>J237+J238</f>
        <v>24481.14</v>
      </c>
      <c r="K236" s="360"/>
      <c r="L236" s="323"/>
      <c r="M236" s="152"/>
      <c r="N236" s="164"/>
      <c r="O236" s="86"/>
      <c r="P236" s="23"/>
      <c r="Q236" s="23"/>
    </row>
    <row r="237" spans="1:17" ht="17.25" customHeight="1">
      <c r="A237" s="333"/>
      <c r="B237" s="469" t="s">
        <v>829</v>
      </c>
      <c r="C237" s="281"/>
      <c r="D237" s="340"/>
      <c r="E237" s="317" t="s">
        <v>824</v>
      </c>
      <c r="F237" s="318" t="s">
        <v>713</v>
      </c>
      <c r="G237" s="1258">
        <v>1</v>
      </c>
      <c r="H237" s="1259"/>
      <c r="I237" s="1248"/>
      <c r="J237" s="272">
        <v>24068.14</v>
      </c>
      <c r="K237" s="272"/>
      <c r="L237" s="323"/>
      <c r="M237" s="152"/>
      <c r="N237" s="164"/>
      <c r="O237" s="86"/>
      <c r="P237" s="23"/>
      <c r="Q237" s="23"/>
    </row>
    <row r="238" spans="1:17" ht="17.25" customHeight="1">
      <c r="A238" s="339"/>
      <c r="B238" s="469" t="s">
        <v>830</v>
      </c>
      <c r="C238" s="281"/>
      <c r="D238" s="340"/>
      <c r="E238" s="281" t="s">
        <v>17</v>
      </c>
      <c r="F238" s="282"/>
      <c r="G238" s="1018"/>
      <c r="H238" s="284"/>
      <c r="I238" s="1017"/>
      <c r="J238" s="323">
        <v>413</v>
      </c>
      <c r="K238" s="272"/>
      <c r="L238" s="323"/>
      <c r="M238" s="152"/>
      <c r="N238" s="164"/>
      <c r="O238" s="86"/>
      <c r="P238" s="23"/>
      <c r="Q238" s="23"/>
    </row>
    <row r="239" spans="1:17" ht="17.25" customHeight="1">
      <c r="A239" s="502" t="s">
        <v>511</v>
      </c>
      <c r="B239" s="469" t="s">
        <v>512</v>
      </c>
      <c r="C239" s="281"/>
      <c r="D239" s="340"/>
      <c r="E239" s="325"/>
      <c r="F239" s="530" t="s">
        <v>713</v>
      </c>
      <c r="G239" s="1224">
        <v>1</v>
      </c>
      <c r="H239" s="1225"/>
      <c r="I239" s="1226"/>
      <c r="J239" s="360">
        <f>J240+J241</f>
        <v>12664.56</v>
      </c>
      <c r="K239" s="360"/>
      <c r="L239" s="323"/>
      <c r="M239" s="152"/>
      <c r="N239" s="164"/>
      <c r="O239" s="86"/>
      <c r="P239" s="23"/>
      <c r="Q239" s="23"/>
    </row>
    <row r="240" spans="1:17" ht="17.25" customHeight="1">
      <c r="A240" s="333"/>
      <c r="B240" s="469" t="s">
        <v>829</v>
      </c>
      <c r="C240" s="281"/>
      <c r="D240" s="340"/>
      <c r="E240" s="317" t="s">
        <v>824</v>
      </c>
      <c r="F240" s="318" t="s">
        <v>713</v>
      </c>
      <c r="G240" s="1258">
        <v>1</v>
      </c>
      <c r="H240" s="1259"/>
      <c r="I240" s="1248"/>
      <c r="J240" s="272">
        <v>12450.56</v>
      </c>
      <c r="K240" s="272"/>
      <c r="L240" s="323"/>
      <c r="M240" s="152"/>
      <c r="N240" s="164"/>
      <c r="O240" s="86"/>
      <c r="P240" s="23"/>
      <c r="Q240" s="23"/>
    </row>
    <row r="241" spans="1:17" ht="17.25" customHeight="1">
      <c r="A241" s="339"/>
      <c r="B241" s="469" t="s">
        <v>830</v>
      </c>
      <c r="C241" s="281"/>
      <c r="D241" s="340"/>
      <c r="E241" s="281" t="s">
        <v>17</v>
      </c>
      <c r="F241" s="282"/>
      <c r="G241" s="1018"/>
      <c r="H241" s="284"/>
      <c r="I241" s="1017"/>
      <c r="J241" s="323">
        <v>214</v>
      </c>
      <c r="K241" s="272"/>
      <c r="L241" s="323"/>
      <c r="M241" s="152"/>
      <c r="N241" s="164"/>
      <c r="O241" s="86"/>
      <c r="P241" s="23"/>
      <c r="Q241" s="23"/>
    </row>
    <row r="242" spans="1:17" ht="17.25" customHeight="1">
      <c r="A242" s="502" t="s">
        <v>670</v>
      </c>
      <c r="B242" s="469" t="s">
        <v>671</v>
      </c>
      <c r="C242" s="281"/>
      <c r="D242" s="340"/>
      <c r="E242" s="325"/>
      <c r="F242" s="530" t="s">
        <v>713</v>
      </c>
      <c r="G242" s="1224">
        <v>1</v>
      </c>
      <c r="H242" s="1225"/>
      <c r="I242" s="1226"/>
      <c r="J242" s="360">
        <f>J243+J244</f>
        <v>24869.64</v>
      </c>
      <c r="K242" s="360"/>
      <c r="L242" s="272"/>
      <c r="M242" s="152"/>
      <c r="N242" s="164"/>
      <c r="O242" s="86"/>
      <c r="P242" s="23"/>
      <c r="Q242" s="23"/>
    </row>
    <row r="243" spans="1:17" ht="17.25" customHeight="1">
      <c r="A243" s="333"/>
      <c r="B243" s="469" t="s">
        <v>829</v>
      </c>
      <c r="C243" s="281"/>
      <c r="D243" s="340"/>
      <c r="E243" s="317" t="s">
        <v>824</v>
      </c>
      <c r="F243" s="318" t="s">
        <v>713</v>
      </c>
      <c r="G243" s="1258">
        <v>1</v>
      </c>
      <c r="H243" s="1259"/>
      <c r="I243" s="1248"/>
      <c r="J243" s="272">
        <v>24449.64</v>
      </c>
      <c r="K243" s="272"/>
      <c r="L243" s="323"/>
      <c r="M243" s="152"/>
      <c r="N243" s="164"/>
      <c r="O243" s="86"/>
      <c r="P243" s="23"/>
      <c r="Q243" s="23"/>
    </row>
    <row r="244" spans="1:17" ht="17.25" customHeight="1">
      <c r="A244" s="339"/>
      <c r="B244" s="469" t="s">
        <v>830</v>
      </c>
      <c r="C244" s="281"/>
      <c r="D244" s="340"/>
      <c r="E244" s="281" t="s">
        <v>17</v>
      </c>
      <c r="F244" s="282"/>
      <c r="G244" s="1018"/>
      <c r="H244" s="284"/>
      <c r="I244" s="1017"/>
      <c r="J244" s="323">
        <v>420</v>
      </c>
      <c r="K244" s="272"/>
      <c r="L244" s="323"/>
      <c r="M244" s="152"/>
      <c r="N244" s="164"/>
      <c r="O244" s="86"/>
      <c r="P244" s="23"/>
      <c r="Q244" s="23"/>
    </row>
    <row r="245" spans="1:17" ht="17.25" customHeight="1">
      <c r="A245" s="502" t="s">
        <v>672</v>
      </c>
      <c r="B245" s="469" t="s">
        <v>673</v>
      </c>
      <c r="C245" s="281"/>
      <c r="D245" s="340"/>
      <c r="E245" s="325"/>
      <c r="F245" s="530" t="s">
        <v>713</v>
      </c>
      <c r="G245" s="1224">
        <v>1</v>
      </c>
      <c r="H245" s="1225"/>
      <c r="I245" s="1226"/>
      <c r="J245" s="360">
        <f>J246+J247</f>
        <v>26595.06</v>
      </c>
      <c r="K245" s="360"/>
      <c r="L245" s="323"/>
      <c r="M245" s="152"/>
      <c r="N245" s="164"/>
      <c r="O245" s="86"/>
      <c r="P245" s="23"/>
      <c r="Q245" s="23"/>
    </row>
    <row r="246" spans="1:17" ht="17.25" customHeight="1">
      <c r="A246" s="333"/>
      <c r="B246" s="470" t="s">
        <v>829</v>
      </c>
      <c r="C246" s="322"/>
      <c r="D246" s="1105"/>
      <c r="E246" s="678" t="s">
        <v>824</v>
      </c>
      <c r="F246" s="615" t="s">
        <v>713</v>
      </c>
      <c r="G246" s="1289">
        <v>1</v>
      </c>
      <c r="H246" s="1290"/>
      <c r="I246" s="1291"/>
      <c r="J246" s="323">
        <v>26147.06</v>
      </c>
      <c r="K246" s="323"/>
      <c r="L246" s="323"/>
      <c r="M246" s="152"/>
      <c r="N246" s="164"/>
      <c r="O246" s="86"/>
      <c r="P246" s="23"/>
      <c r="Q246" s="23"/>
    </row>
    <row r="247" spans="1:17" ht="17.25" customHeight="1">
      <c r="A247" s="333"/>
      <c r="B247" s="469" t="s">
        <v>830</v>
      </c>
      <c r="C247" s="281"/>
      <c r="D247" s="340"/>
      <c r="E247" s="281" t="s">
        <v>17</v>
      </c>
      <c r="F247" s="282"/>
      <c r="G247" s="1018"/>
      <c r="H247" s="284"/>
      <c r="I247" s="1017"/>
      <c r="J247" s="323">
        <v>448</v>
      </c>
      <c r="K247" s="323"/>
      <c r="L247" s="323"/>
      <c r="M247" s="152"/>
      <c r="N247" s="164"/>
      <c r="O247" s="86"/>
      <c r="P247" s="23"/>
      <c r="Q247" s="23"/>
    </row>
    <row r="248" spans="1:17" ht="17.25" customHeight="1">
      <c r="A248" s="370" t="s">
        <v>674</v>
      </c>
      <c r="B248" s="469" t="s">
        <v>675</v>
      </c>
      <c r="C248" s="281"/>
      <c r="D248" s="340"/>
      <c r="E248" s="281"/>
      <c r="F248" s="530" t="s">
        <v>713</v>
      </c>
      <c r="G248" s="1224">
        <v>1</v>
      </c>
      <c r="H248" s="1225"/>
      <c r="I248" s="1226"/>
      <c r="J248" s="360">
        <f>J249+J250</f>
        <v>18127.14</v>
      </c>
      <c r="K248" s="360"/>
      <c r="L248" s="323"/>
      <c r="M248" s="152"/>
      <c r="N248" s="164"/>
      <c r="O248" s="86"/>
      <c r="P248" s="23"/>
      <c r="Q248" s="23"/>
    </row>
    <row r="249" spans="1:17" ht="17.25" customHeight="1">
      <c r="A249" s="337"/>
      <c r="B249" s="469" t="s">
        <v>829</v>
      </c>
      <c r="C249" s="281"/>
      <c r="D249" s="340"/>
      <c r="E249" s="317" t="s">
        <v>824</v>
      </c>
      <c r="F249" s="318" t="s">
        <v>713</v>
      </c>
      <c r="G249" s="1258">
        <v>1</v>
      </c>
      <c r="H249" s="1259"/>
      <c r="I249" s="1248"/>
      <c r="J249" s="272">
        <v>17822.14</v>
      </c>
      <c r="K249" s="272"/>
      <c r="L249" s="272"/>
      <c r="M249" s="152"/>
      <c r="N249" s="164"/>
      <c r="O249" s="86"/>
      <c r="P249" s="23"/>
      <c r="Q249" s="23"/>
    </row>
    <row r="250" spans="1:17" ht="17.25" customHeight="1">
      <c r="A250" s="334"/>
      <c r="B250" s="469" t="s">
        <v>830</v>
      </c>
      <c r="C250" s="281"/>
      <c r="D250" s="340"/>
      <c r="E250" s="281" t="s">
        <v>17</v>
      </c>
      <c r="F250" s="282"/>
      <c r="G250" s="1018"/>
      <c r="H250" s="284"/>
      <c r="I250" s="1017"/>
      <c r="J250" s="272">
        <v>305</v>
      </c>
      <c r="K250" s="332"/>
      <c r="L250" s="272"/>
      <c r="M250" s="152"/>
      <c r="N250" s="164"/>
      <c r="O250" s="86"/>
      <c r="P250" s="23"/>
      <c r="Q250" s="23"/>
    </row>
    <row r="251" spans="1:17" ht="17.25" customHeight="1">
      <c r="A251" s="502" t="s">
        <v>677</v>
      </c>
      <c r="B251" s="859" t="s">
        <v>676</v>
      </c>
      <c r="C251" s="325"/>
      <c r="D251" s="447"/>
      <c r="E251" s="325"/>
      <c r="F251" s="328" t="s">
        <v>713</v>
      </c>
      <c r="G251" s="1227">
        <v>1</v>
      </c>
      <c r="H251" s="1228"/>
      <c r="I251" s="1229"/>
      <c r="J251" s="1042">
        <f>J252+J253</f>
        <v>18127.14</v>
      </c>
      <c r="K251" s="1042"/>
      <c r="L251" s="316"/>
      <c r="M251" s="152"/>
      <c r="N251" s="164"/>
      <c r="O251" s="86"/>
      <c r="P251" s="23"/>
      <c r="Q251" s="23"/>
    </row>
    <row r="252" spans="1:17" ht="17.25" customHeight="1">
      <c r="A252" s="333"/>
      <c r="B252" s="469" t="s">
        <v>829</v>
      </c>
      <c r="C252" s="281"/>
      <c r="D252" s="340"/>
      <c r="E252" s="317" t="s">
        <v>824</v>
      </c>
      <c r="F252" s="318" t="s">
        <v>713</v>
      </c>
      <c r="G252" s="1258">
        <v>1</v>
      </c>
      <c r="H252" s="1259"/>
      <c r="I252" s="1248"/>
      <c r="J252" s="272">
        <v>17822.14</v>
      </c>
      <c r="K252" s="272"/>
      <c r="L252" s="323"/>
      <c r="M252" s="152"/>
      <c r="N252" s="164"/>
      <c r="O252" s="86"/>
      <c r="P252" s="23"/>
      <c r="Q252" s="23"/>
    </row>
    <row r="253" spans="1:17" ht="17.25" customHeight="1">
      <c r="A253" s="339"/>
      <c r="B253" s="469" t="s">
        <v>830</v>
      </c>
      <c r="C253" s="281"/>
      <c r="D253" s="340"/>
      <c r="E253" s="281" t="s">
        <v>17</v>
      </c>
      <c r="F253" s="282"/>
      <c r="G253" s="1018"/>
      <c r="H253" s="284"/>
      <c r="I253" s="1017"/>
      <c r="J253" s="323">
        <v>305</v>
      </c>
      <c r="K253" s="272"/>
      <c r="L253" s="323"/>
      <c r="M253" s="152"/>
      <c r="N253" s="164"/>
      <c r="O253" s="86"/>
      <c r="P253" s="23"/>
      <c r="Q253" s="23"/>
    </row>
    <row r="254" spans="1:17" ht="17.25" customHeight="1">
      <c r="A254" s="502" t="s">
        <v>679</v>
      </c>
      <c r="B254" s="469" t="s">
        <v>678</v>
      </c>
      <c r="C254" s="281"/>
      <c r="D254" s="340"/>
      <c r="E254" s="325"/>
      <c r="F254" s="530" t="s">
        <v>713</v>
      </c>
      <c r="G254" s="1224">
        <v>1</v>
      </c>
      <c r="H254" s="1225"/>
      <c r="I254" s="1226"/>
      <c r="J254" s="360">
        <f>J255+J256</f>
        <v>16883.11</v>
      </c>
      <c r="K254" s="360"/>
      <c r="L254" s="323"/>
      <c r="M254" s="152"/>
      <c r="N254" s="164"/>
      <c r="O254" s="86"/>
      <c r="P254" s="23"/>
      <c r="Q254" s="23"/>
    </row>
    <row r="255" spans="1:17" ht="17.25" customHeight="1">
      <c r="A255" s="333"/>
      <c r="B255" s="469" t="s">
        <v>829</v>
      </c>
      <c r="C255" s="281"/>
      <c r="D255" s="340"/>
      <c r="E255" s="317" t="s">
        <v>824</v>
      </c>
      <c r="F255" s="318" t="s">
        <v>713</v>
      </c>
      <c r="G255" s="1258">
        <v>1</v>
      </c>
      <c r="H255" s="1259"/>
      <c r="I255" s="1248"/>
      <c r="J255" s="272">
        <v>16599.11</v>
      </c>
      <c r="K255" s="272"/>
      <c r="L255" s="323"/>
      <c r="M255" s="152"/>
      <c r="N255" s="164"/>
      <c r="O255" s="86"/>
      <c r="P255" s="23"/>
      <c r="Q255" s="23"/>
    </row>
    <row r="256" spans="1:17" ht="17.25" customHeight="1">
      <c r="A256" s="339"/>
      <c r="B256" s="469" t="s">
        <v>830</v>
      </c>
      <c r="C256" s="281"/>
      <c r="D256" s="340"/>
      <c r="E256" s="281" t="s">
        <v>17</v>
      </c>
      <c r="F256" s="282"/>
      <c r="G256" s="1018"/>
      <c r="H256" s="284"/>
      <c r="I256" s="1017"/>
      <c r="J256" s="323">
        <v>284</v>
      </c>
      <c r="K256" s="323"/>
      <c r="L256" s="323"/>
      <c r="M256" s="152"/>
      <c r="N256" s="164"/>
      <c r="O256" s="86"/>
      <c r="P256" s="23"/>
      <c r="Q256" s="23"/>
    </row>
    <row r="257" spans="1:17" ht="17.25" customHeight="1">
      <c r="A257" s="502" t="s">
        <v>680</v>
      </c>
      <c r="B257" s="469" t="s">
        <v>681</v>
      </c>
      <c r="C257" s="281"/>
      <c r="D257" s="340"/>
      <c r="E257" s="325"/>
      <c r="F257" s="530" t="s">
        <v>713</v>
      </c>
      <c r="G257" s="1224">
        <v>1</v>
      </c>
      <c r="H257" s="1225"/>
      <c r="I257" s="1226"/>
      <c r="J257" s="360">
        <f>J258+J259</f>
        <v>28261.3</v>
      </c>
      <c r="K257" s="360"/>
      <c r="L257" s="323"/>
      <c r="M257" s="152"/>
      <c r="N257" s="164"/>
      <c r="O257" s="86"/>
      <c r="P257" s="23"/>
      <c r="Q257" s="23"/>
    </row>
    <row r="258" spans="1:17" ht="17.25" customHeight="1">
      <c r="A258" s="337"/>
      <c r="B258" s="469" t="s">
        <v>829</v>
      </c>
      <c r="C258" s="281"/>
      <c r="D258" s="340"/>
      <c r="E258" s="317" t="s">
        <v>824</v>
      </c>
      <c r="F258" s="318" t="s">
        <v>713</v>
      </c>
      <c r="G258" s="1258">
        <v>1</v>
      </c>
      <c r="H258" s="1259"/>
      <c r="I258" s="1248"/>
      <c r="J258" s="272">
        <v>27784.3</v>
      </c>
      <c r="K258" s="272"/>
      <c r="L258" s="323"/>
      <c r="M258" s="152"/>
      <c r="N258" s="164"/>
      <c r="O258" s="86"/>
      <c r="P258" s="23"/>
      <c r="Q258" s="23"/>
    </row>
    <row r="259" spans="1:17" ht="17.25" customHeight="1">
      <c r="A259" s="334"/>
      <c r="B259" s="469" t="s">
        <v>830</v>
      </c>
      <c r="C259" s="281"/>
      <c r="D259" s="340"/>
      <c r="E259" s="281" t="s">
        <v>17</v>
      </c>
      <c r="F259" s="282"/>
      <c r="G259" s="1018"/>
      <c r="H259" s="284"/>
      <c r="I259" s="1017"/>
      <c r="J259" s="323">
        <v>477</v>
      </c>
      <c r="K259" s="272"/>
      <c r="L259" s="323"/>
      <c r="M259" s="152"/>
      <c r="N259" s="164"/>
      <c r="O259" s="86"/>
      <c r="P259" s="23"/>
      <c r="Q259" s="23"/>
    </row>
    <row r="260" spans="1:17" ht="17.25" customHeight="1">
      <c r="A260" s="334" t="s">
        <v>550</v>
      </c>
      <c r="B260" s="473" t="s">
        <v>551</v>
      </c>
      <c r="C260" s="281"/>
      <c r="D260" s="340"/>
      <c r="E260" s="281"/>
      <c r="F260" s="318" t="s">
        <v>713</v>
      </c>
      <c r="G260" s="1258">
        <v>1</v>
      </c>
      <c r="H260" s="1259"/>
      <c r="I260" s="1248"/>
      <c r="J260" s="531">
        <f>J261+J262</f>
        <v>16152.66</v>
      </c>
      <c r="K260" s="272"/>
      <c r="L260" s="323"/>
      <c r="M260" s="152"/>
      <c r="N260" s="164"/>
      <c r="O260" s="86"/>
      <c r="P260" s="23"/>
      <c r="Q260" s="23"/>
    </row>
    <row r="261" spans="1:17" ht="17.25" customHeight="1">
      <c r="A261" s="334"/>
      <c r="B261" s="469" t="s">
        <v>829</v>
      </c>
      <c r="C261" s="281"/>
      <c r="D261" s="340"/>
      <c r="E261" s="317" t="s">
        <v>824</v>
      </c>
      <c r="F261" s="318" t="s">
        <v>713</v>
      </c>
      <c r="G261" s="1258">
        <v>1</v>
      </c>
      <c r="H261" s="1259"/>
      <c r="I261" s="1248"/>
      <c r="J261" s="323">
        <v>15880.66</v>
      </c>
      <c r="K261" s="272"/>
      <c r="L261" s="323"/>
      <c r="M261" s="152"/>
      <c r="N261" s="164"/>
      <c r="O261" s="86"/>
      <c r="P261" s="23"/>
      <c r="Q261" s="23"/>
    </row>
    <row r="262" spans="1:17" ht="17.25" customHeight="1">
      <c r="A262" s="334"/>
      <c r="B262" s="469" t="s">
        <v>830</v>
      </c>
      <c r="C262" s="281"/>
      <c r="D262" s="340"/>
      <c r="E262" s="281" t="s">
        <v>17</v>
      </c>
      <c r="F262" s="318"/>
      <c r="G262" s="1018"/>
      <c r="H262" s="284"/>
      <c r="I262" s="1017"/>
      <c r="J262" s="323">
        <v>272</v>
      </c>
      <c r="K262" s="272"/>
      <c r="L262" s="323"/>
      <c r="M262" s="152"/>
      <c r="N262" s="164"/>
      <c r="O262" s="86"/>
      <c r="P262" s="23"/>
      <c r="Q262" s="23"/>
    </row>
    <row r="263" spans="1:17" ht="17.25" customHeight="1">
      <c r="A263" s="334" t="s">
        <v>552</v>
      </c>
      <c r="B263" s="473" t="s">
        <v>553</v>
      </c>
      <c r="C263" s="281"/>
      <c r="D263" s="340"/>
      <c r="E263" s="281"/>
      <c r="F263" s="318" t="s">
        <v>713</v>
      </c>
      <c r="G263" s="1258">
        <v>1</v>
      </c>
      <c r="H263" s="1259"/>
      <c r="I263" s="1248"/>
      <c r="J263" s="531">
        <f>J264+J265</f>
        <v>18943.64</v>
      </c>
      <c r="K263" s="272"/>
      <c r="L263" s="323"/>
      <c r="M263" s="152"/>
      <c r="N263" s="164"/>
      <c r="O263" s="86"/>
      <c r="P263" s="23"/>
      <c r="Q263" s="23"/>
    </row>
    <row r="264" spans="1:17" ht="17.25" customHeight="1">
      <c r="A264" s="334"/>
      <c r="B264" s="469" t="s">
        <v>829</v>
      </c>
      <c r="C264" s="281"/>
      <c r="D264" s="340"/>
      <c r="E264" s="317" t="s">
        <v>824</v>
      </c>
      <c r="F264" s="318" t="s">
        <v>713</v>
      </c>
      <c r="G264" s="1258">
        <v>1</v>
      </c>
      <c r="H264" s="1259"/>
      <c r="I264" s="1248"/>
      <c r="J264" s="323">
        <v>18624.64</v>
      </c>
      <c r="K264" s="272"/>
      <c r="L264" s="323"/>
      <c r="M264" s="152"/>
      <c r="N264" s="164"/>
      <c r="O264" s="86"/>
      <c r="P264" s="23"/>
      <c r="Q264" s="23"/>
    </row>
    <row r="265" spans="1:17" ht="17.25" customHeight="1">
      <c r="A265" s="334"/>
      <c r="B265" s="469" t="s">
        <v>830</v>
      </c>
      <c r="C265" s="281"/>
      <c r="D265" s="340"/>
      <c r="E265" s="281" t="s">
        <v>17</v>
      </c>
      <c r="F265" s="318"/>
      <c r="G265" s="1018"/>
      <c r="H265" s="284"/>
      <c r="I265" s="1017"/>
      <c r="J265" s="323">
        <v>319</v>
      </c>
      <c r="K265" s="272"/>
      <c r="L265" s="323"/>
      <c r="M265" s="152"/>
      <c r="N265" s="164"/>
      <c r="O265" s="86"/>
      <c r="P265" s="23"/>
      <c r="Q265" s="23"/>
    </row>
    <row r="266" spans="1:17" ht="17.25" customHeight="1">
      <c r="A266" s="334" t="s">
        <v>554</v>
      </c>
      <c r="B266" s="473" t="s">
        <v>384</v>
      </c>
      <c r="C266" s="281"/>
      <c r="D266" s="340"/>
      <c r="E266" s="281"/>
      <c r="F266" s="318" t="s">
        <v>713</v>
      </c>
      <c r="G266" s="1258">
        <v>1</v>
      </c>
      <c r="H266" s="1259"/>
      <c r="I266" s="1248"/>
      <c r="J266" s="531">
        <f>J267+J268</f>
        <v>25423.4</v>
      </c>
      <c r="K266" s="272"/>
      <c r="L266" s="323"/>
      <c r="M266" s="152"/>
      <c r="N266" s="164"/>
      <c r="O266" s="86"/>
      <c r="P266" s="23"/>
      <c r="Q266" s="23"/>
    </row>
    <row r="267" spans="1:17" ht="17.25" customHeight="1">
      <c r="A267" s="334"/>
      <c r="B267" s="469" t="s">
        <v>829</v>
      </c>
      <c r="C267" s="281"/>
      <c r="D267" s="340"/>
      <c r="E267" s="317" t="s">
        <v>824</v>
      </c>
      <c r="F267" s="318" t="s">
        <v>713</v>
      </c>
      <c r="G267" s="1258">
        <v>1</v>
      </c>
      <c r="H267" s="1259"/>
      <c r="I267" s="1248"/>
      <c r="J267" s="323">
        <v>24974</v>
      </c>
      <c r="K267" s="272"/>
      <c r="L267" s="323"/>
      <c r="M267" s="152"/>
      <c r="N267" s="164"/>
      <c r="O267" s="86"/>
      <c r="P267" s="23"/>
      <c r="Q267" s="23"/>
    </row>
    <row r="268" spans="1:17" ht="17.25" customHeight="1">
      <c r="A268" s="334"/>
      <c r="B268" s="469" t="s">
        <v>830</v>
      </c>
      <c r="C268" s="281"/>
      <c r="D268" s="340"/>
      <c r="E268" s="281" t="s">
        <v>17</v>
      </c>
      <c r="F268" s="318"/>
      <c r="G268" s="1018"/>
      <c r="H268" s="284"/>
      <c r="I268" s="1017"/>
      <c r="J268" s="323">
        <v>449.4</v>
      </c>
      <c r="K268" s="272"/>
      <c r="L268" s="323"/>
      <c r="M268" s="152"/>
      <c r="N268" s="164"/>
      <c r="O268" s="86"/>
      <c r="P268" s="23"/>
      <c r="Q268" s="23"/>
    </row>
    <row r="269" spans="1:17" ht="17.25" customHeight="1">
      <c r="A269" s="334" t="s">
        <v>555</v>
      </c>
      <c r="B269" s="473" t="s">
        <v>557</v>
      </c>
      <c r="C269" s="281"/>
      <c r="D269" s="340"/>
      <c r="E269" s="281"/>
      <c r="F269" s="318" t="s">
        <v>713</v>
      </c>
      <c r="G269" s="1258">
        <v>1</v>
      </c>
      <c r="H269" s="1259"/>
      <c r="I269" s="1248"/>
      <c r="J269" s="531">
        <f>J270+J271</f>
        <v>10760.789999999999</v>
      </c>
      <c r="K269" s="272"/>
      <c r="L269" s="323"/>
      <c r="M269" s="152"/>
      <c r="N269" s="164"/>
      <c r="O269" s="86"/>
      <c r="P269" s="23"/>
      <c r="Q269" s="23"/>
    </row>
    <row r="270" spans="1:17" ht="17.25" customHeight="1">
      <c r="A270" s="334"/>
      <c r="B270" s="469" t="s">
        <v>829</v>
      </c>
      <c r="C270" s="281"/>
      <c r="D270" s="340"/>
      <c r="E270" s="317" t="s">
        <v>824</v>
      </c>
      <c r="F270" s="318" t="s">
        <v>713</v>
      </c>
      <c r="G270" s="1258">
        <v>1</v>
      </c>
      <c r="H270" s="1259"/>
      <c r="I270" s="1248"/>
      <c r="J270" s="323">
        <v>10570.74</v>
      </c>
      <c r="K270" s="272"/>
      <c r="L270" s="323"/>
      <c r="M270" s="152"/>
      <c r="N270" s="164"/>
      <c r="O270" s="86"/>
      <c r="P270" s="23"/>
      <c r="Q270" s="23"/>
    </row>
    <row r="271" spans="1:17" ht="17.25" customHeight="1">
      <c r="A271" s="334"/>
      <c r="B271" s="469" t="s">
        <v>830</v>
      </c>
      <c r="C271" s="281"/>
      <c r="D271" s="340"/>
      <c r="E271" s="281" t="s">
        <v>17</v>
      </c>
      <c r="F271" s="318"/>
      <c r="G271" s="1018"/>
      <c r="H271" s="284"/>
      <c r="I271" s="1017"/>
      <c r="J271" s="323">
        <v>190.05</v>
      </c>
      <c r="K271" s="272"/>
      <c r="L271" s="323"/>
      <c r="M271" s="152"/>
      <c r="N271" s="164"/>
      <c r="O271" s="86"/>
      <c r="P271" s="23"/>
      <c r="Q271" s="23"/>
    </row>
    <row r="272" spans="1:17" ht="17.25" customHeight="1">
      <c r="A272" s="334" t="s">
        <v>556</v>
      </c>
      <c r="B272" s="473" t="s">
        <v>558</v>
      </c>
      <c r="C272" s="281"/>
      <c r="D272" s="340"/>
      <c r="E272" s="281"/>
      <c r="F272" s="318" t="s">
        <v>713</v>
      </c>
      <c r="G272" s="1258">
        <v>1</v>
      </c>
      <c r="H272" s="1259"/>
      <c r="I272" s="1248"/>
      <c r="J272" s="531">
        <f>J273+J274</f>
        <v>16038.02</v>
      </c>
      <c r="K272" s="272"/>
      <c r="L272" s="323"/>
      <c r="M272" s="152"/>
      <c r="N272" s="164"/>
      <c r="O272" s="86"/>
      <c r="P272" s="23"/>
      <c r="Q272" s="23"/>
    </row>
    <row r="273" spans="1:17" ht="17.25" customHeight="1">
      <c r="A273" s="334"/>
      <c r="B273" s="469" t="s">
        <v>829</v>
      </c>
      <c r="C273" s="281"/>
      <c r="D273" s="340"/>
      <c r="E273" s="317" t="s">
        <v>824</v>
      </c>
      <c r="F273" s="318" t="s">
        <v>713</v>
      </c>
      <c r="G273" s="1258">
        <v>1</v>
      </c>
      <c r="H273" s="1259"/>
      <c r="I273" s="1248"/>
      <c r="J273" s="323">
        <v>15754.52</v>
      </c>
      <c r="K273" s="272"/>
      <c r="L273" s="323"/>
      <c r="M273" s="152"/>
      <c r="N273" s="164"/>
      <c r="O273" s="86"/>
      <c r="P273" s="23"/>
      <c r="Q273" s="23"/>
    </row>
    <row r="274" spans="1:17" ht="17.25" customHeight="1">
      <c r="A274" s="334"/>
      <c r="B274" s="469" t="s">
        <v>830</v>
      </c>
      <c r="C274" s="281"/>
      <c r="D274" s="340"/>
      <c r="E274" s="281" t="s">
        <v>17</v>
      </c>
      <c r="F274" s="318"/>
      <c r="G274" s="1018"/>
      <c r="H274" s="284"/>
      <c r="I274" s="1017"/>
      <c r="J274" s="323">
        <v>283.5</v>
      </c>
      <c r="K274" s="272"/>
      <c r="L274" s="323"/>
      <c r="M274" s="152"/>
      <c r="N274" s="164"/>
      <c r="O274" s="86"/>
      <c r="P274" s="23"/>
      <c r="Q274" s="23"/>
    </row>
    <row r="275" spans="1:17" ht="17.25" customHeight="1">
      <c r="A275" s="334" t="s">
        <v>559</v>
      </c>
      <c r="B275" s="473" t="s">
        <v>560</v>
      </c>
      <c r="C275" s="281"/>
      <c r="D275" s="340"/>
      <c r="E275" s="281"/>
      <c r="F275" s="318" t="s">
        <v>713</v>
      </c>
      <c r="G275" s="1258">
        <v>1</v>
      </c>
      <c r="H275" s="1259"/>
      <c r="I275" s="1248"/>
      <c r="J275" s="531">
        <f>J276+J277</f>
        <v>10760.789999999999</v>
      </c>
      <c r="K275" s="272"/>
      <c r="L275" s="323"/>
      <c r="M275" s="152"/>
      <c r="N275" s="164"/>
      <c r="O275" s="86"/>
      <c r="P275" s="23"/>
      <c r="Q275" s="23"/>
    </row>
    <row r="276" spans="1:17" ht="17.25" customHeight="1">
      <c r="A276" s="334"/>
      <c r="B276" s="469" t="s">
        <v>829</v>
      </c>
      <c r="C276" s="281"/>
      <c r="D276" s="340"/>
      <c r="E276" s="317" t="s">
        <v>824</v>
      </c>
      <c r="F276" s="318" t="s">
        <v>713</v>
      </c>
      <c r="G276" s="1258">
        <v>1</v>
      </c>
      <c r="H276" s="1259"/>
      <c r="I276" s="1248"/>
      <c r="J276" s="323">
        <v>10570.74</v>
      </c>
      <c r="K276" s="272"/>
      <c r="L276" s="323"/>
      <c r="M276" s="152"/>
      <c r="N276" s="164"/>
      <c r="O276" s="86"/>
      <c r="P276" s="23"/>
      <c r="Q276" s="23"/>
    </row>
    <row r="277" spans="1:17" ht="17.25" customHeight="1">
      <c r="A277" s="334"/>
      <c r="B277" s="469" t="s">
        <v>830</v>
      </c>
      <c r="C277" s="281"/>
      <c r="D277" s="340"/>
      <c r="E277" s="281" t="s">
        <v>17</v>
      </c>
      <c r="F277" s="318"/>
      <c r="G277" s="1018"/>
      <c r="H277" s="284"/>
      <c r="I277" s="1017"/>
      <c r="J277" s="323">
        <v>190.05</v>
      </c>
      <c r="K277" s="272"/>
      <c r="L277" s="323"/>
      <c r="M277" s="152"/>
      <c r="N277" s="164"/>
      <c r="O277" s="86"/>
      <c r="P277" s="23"/>
      <c r="Q277" s="23"/>
    </row>
    <row r="278" spans="1:17" ht="17.25" customHeight="1">
      <c r="A278" s="334" t="s">
        <v>561</v>
      </c>
      <c r="B278" s="473" t="s">
        <v>562</v>
      </c>
      <c r="C278" s="281"/>
      <c r="D278" s="340"/>
      <c r="E278" s="281"/>
      <c r="F278" s="318" t="s">
        <v>713</v>
      </c>
      <c r="G278" s="1258">
        <v>1</v>
      </c>
      <c r="H278" s="1259"/>
      <c r="I278" s="1248"/>
      <c r="J278" s="531">
        <f>J279+J280</f>
        <v>12640.91</v>
      </c>
      <c r="K278" s="272"/>
      <c r="L278" s="323"/>
      <c r="M278" s="152"/>
      <c r="N278" s="164"/>
      <c r="O278" s="86"/>
      <c r="P278" s="23"/>
      <c r="Q278" s="23"/>
    </row>
    <row r="279" spans="1:17" ht="17.25" customHeight="1">
      <c r="A279" s="334"/>
      <c r="B279" s="469" t="s">
        <v>829</v>
      </c>
      <c r="C279" s="281"/>
      <c r="D279" s="340"/>
      <c r="E279" s="317" t="s">
        <v>824</v>
      </c>
      <c r="F279" s="318" t="s">
        <v>713</v>
      </c>
      <c r="G279" s="1258">
        <v>1</v>
      </c>
      <c r="H279" s="1259"/>
      <c r="I279" s="1248"/>
      <c r="J279" s="323">
        <v>12417.26</v>
      </c>
      <c r="K279" s="272"/>
      <c r="L279" s="323"/>
      <c r="M279" s="152"/>
      <c r="N279" s="164"/>
      <c r="O279" s="86"/>
      <c r="P279" s="23"/>
      <c r="Q279" s="23"/>
    </row>
    <row r="280" spans="1:17" ht="17.25" customHeight="1">
      <c r="A280" s="334"/>
      <c r="B280" s="469" t="s">
        <v>830</v>
      </c>
      <c r="C280" s="281"/>
      <c r="D280" s="340"/>
      <c r="E280" s="281" t="s">
        <v>17</v>
      </c>
      <c r="F280" s="318"/>
      <c r="G280" s="1018"/>
      <c r="H280" s="284"/>
      <c r="I280" s="1017"/>
      <c r="J280" s="323">
        <v>223.65</v>
      </c>
      <c r="K280" s="272"/>
      <c r="L280" s="323"/>
      <c r="M280" s="152"/>
      <c r="N280" s="164"/>
      <c r="O280" s="86"/>
      <c r="P280" s="23"/>
      <c r="Q280" s="23"/>
    </row>
    <row r="281" spans="1:17" ht="17.25" customHeight="1">
      <c r="A281" s="334" t="s">
        <v>563</v>
      </c>
      <c r="B281" s="473" t="s">
        <v>564</v>
      </c>
      <c r="C281" s="281"/>
      <c r="D281" s="340"/>
      <c r="E281" s="281"/>
      <c r="F281" s="318" t="s">
        <v>713</v>
      </c>
      <c r="G281" s="1258">
        <v>1</v>
      </c>
      <c r="H281" s="1259"/>
      <c r="I281" s="1248"/>
      <c r="J281" s="531">
        <f>J282+J283</f>
        <v>18124.78</v>
      </c>
      <c r="K281" s="272"/>
      <c r="L281" s="323"/>
      <c r="M281" s="152"/>
      <c r="N281" s="164"/>
      <c r="O281" s="86"/>
      <c r="P281" s="23"/>
      <c r="Q281" s="23"/>
    </row>
    <row r="282" spans="1:17" ht="17.25" customHeight="1">
      <c r="A282" s="334"/>
      <c r="B282" s="469" t="s">
        <v>829</v>
      </c>
      <c r="C282" s="281"/>
      <c r="D282" s="340"/>
      <c r="E282" s="317" t="s">
        <v>824</v>
      </c>
      <c r="F282" s="318" t="s">
        <v>713</v>
      </c>
      <c r="G282" s="1258">
        <v>1</v>
      </c>
      <c r="H282" s="1259"/>
      <c r="I282" s="1248"/>
      <c r="J282" s="323">
        <v>17804.53</v>
      </c>
      <c r="K282" s="272"/>
      <c r="L282" s="323"/>
      <c r="M282" s="152"/>
      <c r="N282" s="164"/>
      <c r="O282" s="86"/>
      <c r="P282" s="23"/>
      <c r="Q282" s="23"/>
    </row>
    <row r="283" spans="1:17" ht="17.25" customHeight="1">
      <c r="A283" s="334"/>
      <c r="B283" s="469" t="s">
        <v>830</v>
      </c>
      <c r="C283" s="281"/>
      <c r="D283" s="340"/>
      <c r="E283" s="281" t="s">
        <v>17</v>
      </c>
      <c r="F283" s="318"/>
      <c r="G283" s="1018"/>
      <c r="H283" s="284"/>
      <c r="I283" s="1017"/>
      <c r="J283" s="323">
        <v>320.25</v>
      </c>
      <c r="K283" s="272"/>
      <c r="L283" s="323"/>
      <c r="M283" s="152"/>
      <c r="N283" s="164"/>
      <c r="O283" s="86"/>
      <c r="P283" s="23"/>
      <c r="Q283" s="23"/>
    </row>
    <row r="284" spans="1:17" ht="17.25" customHeight="1">
      <c r="A284" s="334" t="s">
        <v>565</v>
      </c>
      <c r="B284" s="473" t="s">
        <v>566</v>
      </c>
      <c r="C284" s="281"/>
      <c r="D284" s="340"/>
      <c r="E284" s="281"/>
      <c r="F284" s="318" t="s">
        <v>713</v>
      </c>
      <c r="G284" s="1258">
        <v>1</v>
      </c>
      <c r="H284" s="1259"/>
      <c r="I284" s="1248"/>
      <c r="J284" s="531">
        <f>J285+J286</f>
        <v>13838.14</v>
      </c>
      <c r="K284" s="272"/>
      <c r="L284" s="323"/>
      <c r="M284" s="152"/>
      <c r="N284" s="164"/>
      <c r="O284" s="86"/>
      <c r="P284" s="23"/>
      <c r="Q284" s="23"/>
    </row>
    <row r="285" spans="1:17" ht="17.25" customHeight="1">
      <c r="A285" s="334"/>
      <c r="B285" s="469" t="s">
        <v>829</v>
      </c>
      <c r="C285" s="281"/>
      <c r="D285" s="340"/>
      <c r="E285" s="317" t="s">
        <v>824</v>
      </c>
      <c r="F285" s="318" t="s">
        <v>713</v>
      </c>
      <c r="G285" s="1258">
        <v>1</v>
      </c>
      <c r="H285" s="1259"/>
      <c r="I285" s="1248"/>
      <c r="J285" s="323">
        <v>13593.49</v>
      </c>
      <c r="K285" s="272"/>
      <c r="L285" s="323"/>
      <c r="M285" s="152"/>
      <c r="N285" s="164"/>
      <c r="O285" s="86"/>
      <c r="P285" s="23"/>
      <c r="Q285" s="23"/>
    </row>
    <row r="286" spans="1:17" ht="17.25" customHeight="1">
      <c r="A286" s="334"/>
      <c r="B286" s="469" t="s">
        <v>830</v>
      </c>
      <c r="C286" s="281"/>
      <c r="D286" s="340"/>
      <c r="E286" s="281" t="s">
        <v>17</v>
      </c>
      <c r="F286" s="318"/>
      <c r="G286" s="1258"/>
      <c r="H286" s="1259"/>
      <c r="I286" s="1248"/>
      <c r="J286" s="323">
        <v>244.65</v>
      </c>
      <c r="K286" s="272"/>
      <c r="L286" s="323"/>
      <c r="M286" s="152"/>
      <c r="N286" s="164"/>
      <c r="O286" s="86"/>
      <c r="P286" s="23"/>
      <c r="Q286" s="23"/>
    </row>
    <row r="287" spans="1:17" ht="17.25" customHeight="1">
      <c r="A287" s="334" t="s">
        <v>567</v>
      </c>
      <c r="B287" s="473" t="s">
        <v>568</v>
      </c>
      <c r="C287" s="281"/>
      <c r="D287" s="340"/>
      <c r="E287" s="281"/>
      <c r="F287" s="318" t="s">
        <v>713</v>
      </c>
      <c r="G287" s="1258">
        <v>1</v>
      </c>
      <c r="H287" s="1259"/>
      <c r="I287" s="1248"/>
      <c r="J287" s="531">
        <f>J288+J289</f>
        <v>12144.78</v>
      </c>
      <c r="K287" s="272"/>
      <c r="L287" s="323"/>
      <c r="M287" s="152"/>
      <c r="N287" s="164"/>
      <c r="O287" s="86"/>
      <c r="P287" s="23"/>
      <c r="Q287" s="23"/>
    </row>
    <row r="288" spans="1:17" ht="17.25" customHeight="1">
      <c r="A288" s="334"/>
      <c r="B288" s="469" t="s">
        <v>829</v>
      </c>
      <c r="C288" s="281"/>
      <c r="D288" s="340"/>
      <c r="E288" s="317" t="s">
        <v>824</v>
      </c>
      <c r="F288" s="318" t="s">
        <v>713</v>
      </c>
      <c r="G288" s="1258">
        <v>1</v>
      </c>
      <c r="H288" s="1259"/>
      <c r="I288" s="1248"/>
      <c r="J288" s="323">
        <v>11930.58</v>
      </c>
      <c r="K288" s="272"/>
      <c r="L288" s="323"/>
      <c r="M288" s="152"/>
      <c r="N288" s="164"/>
      <c r="O288" s="86"/>
      <c r="P288" s="23"/>
      <c r="Q288" s="23"/>
    </row>
    <row r="289" spans="1:17" ht="17.25" customHeight="1">
      <c r="A289" s="334"/>
      <c r="B289" s="469" t="s">
        <v>830</v>
      </c>
      <c r="C289" s="281"/>
      <c r="D289" s="340"/>
      <c r="E289" s="281" t="s">
        <v>17</v>
      </c>
      <c r="F289" s="318"/>
      <c r="G289" s="1258"/>
      <c r="H289" s="1259"/>
      <c r="I289" s="1248"/>
      <c r="J289" s="323">
        <v>214.2</v>
      </c>
      <c r="K289" s="272"/>
      <c r="L289" s="323"/>
      <c r="M289" s="152"/>
      <c r="N289" s="164"/>
      <c r="O289" s="86"/>
      <c r="P289" s="23"/>
      <c r="Q289" s="23"/>
    </row>
    <row r="290" spans="1:17" ht="18.75" customHeight="1">
      <c r="A290" s="625" t="s">
        <v>834</v>
      </c>
      <c r="B290" s="472" t="s">
        <v>840</v>
      </c>
      <c r="C290" s="255">
        <v>100203</v>
      </c>
      <c r="D290" s="254">
        <v>2240</v>
      </c>
      <c r="E290" s="281"/>
      <c r="F290" s="324" t="s">
        <v>711</v>
      </c>
      <c r="G290" s="1230">
        <f>G291+G294+G297+G300+G303+G306+G310+G313</f>
        <v>2530.8</v>
      </c>
      <c r="H290" s="1278"/>
      <c r="I290" s="1279"/>
      <c r="J290" s="234">
        <f>J291+J294+J297+J300+J303+J306+J309+J312</f>
        <v>1171200.4000000001</v>
      </c>
      <c r="K290" s="234"/>
      <c r="L290" s="272"/>
      <c r="M290" s="152"/>
      <c r="N290" s="164"/>
      <c r="O290" s="86"/>
      <c r="P290" s="23"/>
      <c r="Q290" s="23"/>
    </row>
    <row r="291" spans="1:17" ht="27" customHeight="1">
      <c r="A291" s="370" t="s">
        <v>877</v>
      </c>
      <c r="B291" s="473" t="s">
        <v>895</v>
      </c>
      <c r="C291" s="281"/>
      <c r="D291" s="340"/>
      <c r="E291" s="281"/>
      <c r="F291" s="341" t="s">
        <v>711</v>
      </c>
      <c r="G291" s="1224">
        <v>357</v>
      </c>
      <c r="H291" s="1225"/>
      <c r="I291" s="1226"/>
      <c r="J291" s="360">
        <f>J292+J293</f>
        <v>196981.8</v>
      </c>
      <c r="K291" s="360"/>
      <c r="L291" s="272"/>
      <c r="M291" s="152"/>
      <c r="N291" s="164"/>
      <c r="O291" s="86"/>
      <c r="P291" s="23"/>
      <c r="Q291" s="23"/>
    </row>
    <row r="292" spans="1:17" ht="17.25" customHeight="1">
      <c r="A292" s="502"/>
      <c r="B292" s="470" t="s">
        <v>829</v>
      </c>
      <c r="C292" s="315"/>
      <c r="D292" s="342"/>
      <c r="E292" s="315" t="s">
        <v>838</v>
      </c>
      <c r="F292" s="369" t="s">
        <v>711</v>
      </c>
      <c r="G292" s="1344">
        <v>357</v>
      </c>
      <c r="H292" s="1345"/>
      <c r="I292" s="1346"/>
      <c r="J292" s="316">
        <f>194398.8</f>
        <v>194398.8</v>
      </c>
      <c r="K292" s="272"/>
      <c r="L292" s="272"/>
      <c r="M292" s="152"/>
      <c r="N292" s="164"/>
      <c r="O292" s="86"/>
      <c r="P292" s="23"/>
      <c r="Q292" s="23"/>
    </row>
    <row r="293" spans="1:17" ht="17.25" customHeight="1">
      <c r="A293" s="370"/>
      <c r="B293" s="469" t="s">
        <v>830</v>
      </c>
      <c r="C293" s="474"/>
      <c r="D293" s="474"/>
      <c r="E293" s="281" t="s">
        <v>799</v>
      </c>
      <c r="F293" s="282" t="s">
        <v>802</v>
      </c>
      <c r="G293" s="1338">
        <v>1</v>
      </c>
      <c r="H293" s="1338"/>
      <c r="I293" s="1338"/>
      <c r="J293" s="495">
        <v>2583</v>
      </c>
      <c r="K293" s="272"/>
      <c r="L293" s="272"/>
      <c r="M293" s="152"/>
      <c r="N293" s="164"/>
      <c r="O293" s="86"/>
      <c r="P293" s="23"/>
      <c r="Q293" s="23"/>
    </row>
    <row r="294" spans="1:17" ht="16.5" customHeight="1">
      <c r="A294" s="370" t="s">
        <v>954</v>
      </c>
      <c r="B294" s="469" t="s">
        <v>955</v>
      </c>
      <c r="C294" s="281"/>
      <c r="D294" s="340"/>
      <c r="E294" s="281"/>
      <c r="F294" s="496" t="s">
        <v>711</v>
      </c>
      <c r="G294" s="1292">
        <v>371.6</v>
      </c>
      <c r="H294" s="1293"/>
      <c r="I294" s="1294"/>
      <c r="J294" s="497">
        <f>J295+J296</f>
        <v>171861.8</v>
      </c>
      <c r="K294" s="531"/>
      <c r="L294" s="272"/>
      <c r="M294" s="152"/>
      <c r="N294" s="164"/>
      <c r="O294" s="86"/>
      <c r="P294" s="23"/>
      <c r="Q294" s="23"/>
    </row>
    <row r="295" spans="1:17" ht="16.5" customHeight="1">
      <c r="A295" s="502"/>
      <c r="B295" s="469" t="s">
        <v>829</v>
      </c>
      <c r="C295" s="281"/>
      <c r="D295" s="340"/>
      <c r="E295" s="325" t="s">
        <v>838</v>
      </c>
      <c r="F295" s="290" t="s">
        <v>711</v>
      </c>
      <c r="G295" s="1295">
        <v>371.6</v>
      </c>
      <c r="H295" s="1296"/>
      <c r="I295" s="1297"/>
      <c r="J295" s="495">
        <v>168898.8</v>
      </c>
      <c r="K295" s="272"/>
      <c r="L295" s="272"/>
      <c r="M295" s="152"/>
      <c r="N295" s="164"/>
      <c r="O295" s="86"/>
      <c r="P295" s="23"/>
      <c r="Q295" s="23"/>
    </row>
    <row r="296" spans="1:17" ht="16.5" customHeight="1">
      <c r="A296" s="502"/>
      <c r="B296" s="469" t="s">
        <v>830</v>
      </c>
      <c r="C296" s="474"/>
      <c r="D296" s="474"/>
      <c r="E296" s="281" t="s">
        <v>799</v>
      </c>
      <c r="F296" s="282" t="s">
        <v>802</v>
      </c>
      <c r="G296" s="1338">
        <v>1</v>
      </c>
      <c r="H296" s="1338"/>
      <c r="I296" s="1338"/>
      <c r="J296" s="875">
        <v>2963</v>
      </c>
      <c r="K296" s="272"/>
      <c r="L296" s="272"/>
      <c r="M296" s="152"/>
      <c r="N296" s="164"/>
      <c r="O296" s="86"/>
      <c r="P296" s="23"/>
      <c r="Q296" s="23"/>
    </row>
    <row r="297" spans="1:17" ht="16.5" customHeight="1">
      <c r="A297" s="370" t="s">
        <v>72</v>
      </c>
      <c r="B297" s="469" t="s">
        <v>237</v>
      </c>
      <c r="C297" s="281"/>
      <c r="D297" s="340"/>
      <c r="E297" s="281"/>
      <c r="F297" s="496" t="s">
        <v>711</v>
      </c>
      <c r="G297" s="1292">
        <v>413.8</v>
      </c>
      <c r="H297" s="1293"/>
      <c r="I297" s="1294"/>
      <c r="J297" s="497">
        <f>J298+J299</f>
        <v>199931</v>
      </c>
      <c r="K297" s="498"/>
      <c r="L297" s="272"/>
      <c r="M297" s="152"/>
      <c r="N297" s="164"/>
      <c r="O297" s="86"/>
      <c r="P297" s="23"/>
      <c r="Q297" s="23"/>
    </row>
    <row r="298" spans="1:17" ht="16.5" customHeight="1">
      <c r="A298" s="319"/>
      <c r="B298" s="470" t="s">
        <v>829</v>
      </c>
      <c r="C298" s="281"/>
      <c r="D298" s="340"/>
      <c r="E298" s="281" t="s">
        <v>838</v>
      </c>
      <c r="F298" s="352" t="s">
        <v>711</v>
      </c>
      <c r="G298" s="1295">
        <v>413.8</v>
      </c>
      <c r="H298" s="1296"/>
      <c r="I298" s="1297"/>
      <c r="J298" s="495">
        <v>196578</v>
      </c>
      <c r="K298" s="272"/>
      <c r="L298" s="272"/>
      <c r="M298" s="152"/>
      <c r="N298" s="164"/>
      <c r="O298" s="86"/>
      <c r="P298" s="23"/>
      <c r="Q298" s="23"/>
    </row>
    <row r="299" spans="1:17" ht="16.5" customHeight="1">
      <c r="A299" s="319"/>
      <c r="B299" s="469" t="s">
        <v>830</v>
      </c>
      <c r="C299" s="474"/>
      <c r="D299" s="474"/>
      <c r="E299" s="281" t="s">
        <v>799</v>
      </c>
      <c r="F299" s="282" t="s">
        <v>802</v>
      </c>
      <c r="G299" s="1342">
        <v>1</v>
      </c>
      <c r="H299" s="1342"/>
      <c r="I299" s="1342"/>
      <c r="J299" s="495">
        <v>3353</v>
      </c>
      <c r="K299" s="272"/>
      <c r="L299" s="272"/>
      <c r="M299" s="152"/>
      <c r="N299" s="164"/>
      <c r="O299" s="86"/>
      <c r="P299" s="23"/>
      <c r="Q299" s="23"/>
    </row>
    <row r="300" spans="1:17" ht="16.5" customHeight="1">
      <c r="A300" s="502" t="s">
        <v>225</v>
      </c>
      <c r="B300" s="470" t="s">
        <v>226</v>
      </c>
      <c r="C300" s="281"/>
      <c r="D300" s="340"/>
      <c r="E300" s="281"/>
      <c r="F300" s="496" t="s">
        <v>711</v>
      </c>
      <c r="G300" s="1330">
        <v>71</v>
      </c>
      <c r="H300" s="1331"/>
      <c r="I300" s="1332"/>
      <c r="J300" s="871">
        <f>J301+J302</f>
        <v>36911</v>
      </c>
      <c r="K300" s="234"/>
      <c r="L300" s="272"/>
      <c r="M300" s="152"/>
      <c r="N300" s="164"/>
      <c r="O300" s="86"/>
      <c r="P300" s="23"/>
      <c r="Q300" s="23"/>
    </row>
    <row r="301" spans="1:17" ht="16.5" customHeight="1">
      <c r="A301" s="319"/>
      <c r="B301" s="470" t="s">
        <v>829</v>
      </c>
      <c r="C301" s="281"/>
      <c r="D301" s="340"/>
      <c r="E301" s="315" t="s">
        <v>838</v>
      </c>
      <c r="F301" s="369" t="s">
        <v>711</v>
      </c>
      <c r="G301" s="1258">
        <v>71</v>
      </c>
      <c r="H301" s="1259"/>
      <c r="I301" s="1248"/>
      <c r="J301" s="495">
        <v>36294</v>
      </c>
      <c r="K301" s="272"/>
      <c r="L301" s="272"/>
      <c r="M301" s="152"/>
      <c r="N301" s="164"/>
      <c r="O301" s="86"/>
      <c r="P301" s="23"/>
      <c r="Q301" s="23"/>
    </row>
    <row r="302" spans="1:17" ht="16.5" customHeight="1">
      <c r="A302" s="319"/>
      <c r="B302" s="469" t="s">
        <v>830</v>
      </c>
      <c r="C302" s="474"/>
      <c r="D302" s="474"/>
      <c r="E302" s="281" t="s">
        <v>17</v>
      </c>
      <c r="F302" s="368" t="s">
        <v>802</v>
      </c>
      <c r="G302" s="1289">
        <v>1</v>
      </c>
      <c r="H302" s="1290"/>
      <c r="I302" s="1291"/>
      <c r="J302" s="495">
        <v>617</v>
      </c>
      <c r="K302" s="272"/>
      <c r="L302" s="272"/>
      <c r="M302" s="152"/>
      <c r="N302" s="164"/>
      <c r="O302" s="86"/>
      <c r="P302" s="23"/>
      <c r="Q302" s="23"/>
    </row>
    <row r="303" spans="1:17" ht="24.75" customHeight="1">
      <c r="A303" s="502" t="s">
        <v>526</v>
      </c>
      <c r="B303" s="469" t="s">
        <v>527</v>
      </c>
      <c r="C303" s="474"/>
      <c r="D303" s="474"/>
      <c r="E303" s="281"/>
      <c r="F303" s="496" t="s">
        <v>711</v>
      </c>
      <c r="G303" s="1330">
        <v>361</v>
      </c>
      <c r="H303" s="1331"/>
      <c r="I303" s="1332"/>
      <c r="J303" s="871">
        <f>J304+J305</f>
        <v>191954.7</v>
      </c>
      <c r="K303" s="234"/>
      <c r="L303" s="272"/>
      <c r="M303" s="152"/>
      <c r="N303" s="164"/>
      <c r="O303" s="86"/>
      <c r="P303" s="23"/>
      <c r="Q303" s="23"/>
    </row>
    <row r="304" spans="1:17" ht="16.5" customHeight="1">
      <c r="A304" s="319"/>
      <c r="B304" s="470" t="s">
        <v>829</v>
      </c>
      <c r="C304" s="474"/>
      <c r="D304" s="474"/>
      <c r="E304" s="315" t="s">
        <v>838</v>
      </c>
      <c r="F304" s="369" t="s">
        <v>711</v>
      </c>
      <c r="G304" s="1258">
        <v>361</v>
      </c>
      <c r="H304" s="1259"/>
      <c r="I304" s="1248"/>
      <c r="J304" s="495">
        <v>188580</v>
      </c>
      <c r="K304" s="272"/>
      <c r="L304" s="272"/>
      <c r="M304" s="152"/>
      <c r="N304" s="164"/>
      <c r="O304" s="86"/>
      <c r="P304" s="23"/>
      <c r="Q304" s="23"/>
    </row>
    <row r="305" spans="1:17" ht="16.5" customHeight="1">
      <c r="A305" s="319"/>
      <c r="B305" s="469" t="s">
        <v>830</v>
      </c>
      <c r="C305" s="474"/>
      <c r="D305" s="474"/>
      <c r="E305" s="281" t="s">
        <v>17</v>
      </c>
      <c r="F305" s="282" t="s">
        <v>802</v>
      </c>
      <c r="G305" s="1289">
        <v>1</v>
      </c>
      <c r="H305" s="1290"/>
      <c r="I305" s="1291"/>
      <c r="J305" s="495">
        <v>3374.7</v>
      </c>
      <c r="K305" s="272"/>
      <c r="L305" s="272"/>
      <c r="M305" s="152"/>
      <c r="N305" s="164"/>
      <c r="O305" s="86"/>
      <c r="P305" s="23"/>
      <c r="Q305" s="23"/>
    </row>
    <row r="306" spans="1:17" ht="16.5" customHeight="1">
      <c r="A306" s="319" t="s">
        <v>541</v>
      </c>
      <c r="B306" s="473" t="s">
        <v>542</v>
      </c>
      <c r="C306" s="474"/>
      <c r="D306" s="474"/>
      <c r="E306" s="281"/>
      <c r="F306" s="352" t="s">
        <v>711</v>
      </c>
      <c r="G306" s="1258">
        <v>426</v>
      </c>
      <c r="H306" s="1259"/>
      <c r="I306" s="1248"/>
      <c r="J306" s="497">
        <f>J307+J308</f>
        <v>197368.8</v>
      </c>
      <c r="K306" s="272"/>
      <c r="L306" s="272"/>
      <c r="M306" s="152"/>
      <c r="N306" s="164"/>
      <c r="O306" s="86"/>
      <c r="P306" s="23"/>
      <c r="Q306" s="23"/>
    </row>
    <row r="307" spans="1:17" ht="16.5" customHeight="1">
      <c r="A307" s="319"/>
      <c r="B307" s="470" t="s">
        <v>829</v>
      </c>
      <c r="C307" s="474"/>
      <c r="D307" s="474"/>
      <c r="E307" s="315" t="s">
        <v>838</v>
      </c>
      <c r="F307" s="369" t="s">
        <v>711</v>
      </c>
      <c r="G307" s="1258">
        <v>426</v>
      </c>
      <c r="H307" s="1259"/>
      <c r="I307" s="1248"/>
      <c r="J307" s="495">
        <v>194062.8</v>
      </c>
      <c r="K307" s="272"/>
      <c r="L307" s="272"/>
      <c r="M307" s="152"/>
      <c r="N307" s="164"/>
      <c r="O307" s="86"/>
      <c r="P307" s="23"/>
      <c r="Q307" s="23"/>
    </row>
    <row r="308" spans="1:47" ht="16.5" customHeight="1">
      <c r="A308" s="319"/>
      <c r="B308" s="469" t="s">
        <v>830</v>
      </c>
      <c r="C308" s="474"/>
      <c r="D308" s="474"/>
      <c r="E308" s="281" t="s">
        <v>17</v>
      </c>
      <c r="F308" s="368" t="s">
        <v>802</v>
      </c>
      <c r="G308" s="1258">
        <v>1</v>
      </c>
      <c r="H308" s="1259"/>
      <c r="I308" s="1248"/>
      <c r="J308" s="495">
        <v>3306</v>
      </c>
      <c r="K308" s="272"/>
      <c r="L308" s="272"/>
      <c r="M308" s="152"/>
      <c r="N308" s="1166"/>
      <c r="O308" s="1167"/>
      <c r="P308" s="226"/>
      <c r="Q308" s="226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</row>
    <row r="309" spans="1:47" s="189" customFormat="1" ht="23.25" customHeight="1">
      <c r="A309" s="1168" t="s">
        <v>639</v>
      </c>
      <c r="B309" s="473" t="s">
        <v>640</v>
      </c>
      <c r="C309" s="458"/>
      <c r="D309" s="458"/>
      <c r="E309" s="279"/>
      <c r="F309" s="496" t="s">
        <v>711</v>
      </c>
      <c r="G309" s="1224"/>
      <c r="H309" s="1225"/>
      <c r="I309" s="1226"/>
      <c r="J309" s="497">
        <f>J310+J311</f>
        <v>108912.59999999999</v>
      </c>
      <c r="K309" s="360"/>
      <c r="L309" s="360"/>
      <c r="M309" s="1153"/>
      <c r="N309" s="164"/>
      <c r="O309" s="86"/>
      <c r="P309" s="23"/>
      <c r="Q309" s="23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</row>
    <row r="310" spans="1:17" ht="16.5" customHeight="1">
      <c r="A310" s="319"/>
      <c r="B310" s="470" t="s">
        <v>829</v>
      </c>
      <c r="C310" s="474"/>
      <c r="D310" s="474"/>
      <c r="E310" s="315" t="s">
        <v>838</v>
      </c>
      <c r="F310" s="369" t="s">
        <v>711</v>
      </c>
      <c r="G310" s="1258">
        <v>400</v>
      </c>
      <c r="H310" s="1259"/>
      <c r="I310" s="1248"/>
      <c r="J310" s="495">
        <v>107035.2</v>
      </c>
      <c r="K310" s="272"/>
      <c r="L310" s="272"/>
      <c r="M310" s="152"/>
      <c r="N310" s="164"/>
      <c r="O310" s="86"/>
      <c r="P310" s="23"/>
      <c r="Q310" s="23"/>
    </row>
    <row r="311" spans="1:47" ht="16.5" customHeight="1">
      <c r="A311" s="319"/>
      <c r="B311" s="469" t="s">
        <v>830</v>
      </c>
      <c r="C311" s="474"/>
      <c r="D311" s="474"/>
      <c r="E311" s="281" t="s">
        <v>17</v>
      </c>
      <c r="F311" s="368" t="s">
        <v>802</v>
      </c>
      <c r="G311" s="1258">
        <v>1</v>
      </c>
      <c r="H311" s="1259"/>
      <c r="I311" s="1248"/>
      <c r="J311" s="495">
        <v>1877.4</v>
      </c>
      <c r="K311" s="272"/>
      <c r="L311" s="272"/>
      <c r="M311" s="152"/>
      <c r="N311" s="1166"/>
      <c r="O311" s="1167"/>
      <c r="P311" s="226"/>
      <c r="Q311" s="226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</row>
    <row r="312" spans="1:47" s="189" customFormat="1" ht="16.5" customHeight="1">
      <c r="A312" s="1168" t="s">
        <v>644</v>
      </c>
      <c r="B312" s="473" t="s">
        <v>645</v>
      </c>
      <c r="C312" s="458"/>
      <c r="D312" s="458"/>
      <c r="E312" s="279"/>
      <c r="F312" s="1151"/>
      <c r="G312" s="1224"/>
      <c r="H312" s="1225"/>
      <c r="I312" s="1226"/>
      <c r="J312" s="497">
        <f>J313+J314</f>
        <v>67278.70000000001</v>
      </c>
      <c r="K312" s="360"/>
      <c r="L312" s="360"/>
      <c r="M312" s="1153"/>
      <c r="N312" s="164"/>
      <c r="O312" s="86"/>
      <c r="P312" s="23"/>
      <c r="Q312" s="23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</row>
    <row r="313" spans="1:17" ht="16.5" customHeight="1">
      <c r="A313" s="319"/>
      <c r="B313" s="470" t="s">
        <v>829</v>
      </c>
      <c r="C313" s="474"/>
      <c r="D313" s="474"/>
      <c r="E313" s="281" t="s">
        <v>646</v>
      </c>
      <c r="F313" s="352" t="s">
        <v>711</v>
      </c>
      <c r="G313" s="1258">
        <v>130.4</v>
      </c>
      <c r="H313" s="1259"/>
      <c r="I313" s="1248"/>
      <c r="J313" s="495">
        <v>66099.6</v>
      </c>
      <c r="K313" s="272"/>
      <c r="L313" s="272"/>
      <c r="M313" s="152"/>
      <c r="N313" s="164"/>
      <c r="O313" s="86"/>
      <c r="P313" s="23"/>
      <c r="Q313" s="23"/>
    </row>
    <row r="314" spans="1:17" ht="16.5" customHeight="1">
      <c r="A314" s="319"/>
      <c r="B314" s="469" t="s">
        <v>830</v>
      </c>
      <c r="C314" s="474"/>
      <c r="D314" s="474"/>
      <c r="E314" s="281" t="s">
        <v>17</v>
      </c>
      <c r="F314" s="368" t="s">
        <v>802</v>
      </c>
      <c r="G314" s="1258">
        <v>1</v>
      </c>
      <c r="H314" s="1259"/>
      <c r="I314" s="1248"/>
      <c r="J314" s="495">
        <v>1179.1</v>
      </c>
      <c r="K314" s="272"/>
      <c r="L314" s="272"/>
      <c r="M314" s="152"/>
      <c r="N314" s="164"/>
      <c r="O314" s="86"/>
      <c r="P314" s="23"/>
      <c r="Q314" s="23"/>
    </row>
    <row r="315" spans="1:17" ht="16.5" customHeight="1">
      <c r="A315" s="331" t="s">
        <v>839</v>
      </c>
      <c r="B315" s="472" t="s">
        <v>935</v>
      </c>
      <c r="C315" s="474"/>
      <c r="D315" s="474"/>
      <c r="E315" s="474"/>
      <c r="F315" s="652" t="s">
        <v>802</v>
      </c>
      <c r="G315" s="1260">
        <f>G316+G320+G323+G326</f>
        <v>4</v>
      </c>
      <c r="H315" s="1261"/>
      <c r="I315" s="1262"/>
      <c r="J315" s="570">
        <f>J316+J320+J323+J326+J329+J332+J335+J338</f>
        <v>503067.94999999995</v>
      </c>
      <c r="K315" s="234"/>
      <c r="L315" s="272"/>
      <c r="M315" s="152"/>
      <c r="N315" s="164"/>
      <c r="O315" s="86"/>
      <c r="P315" s="23"/>
      <c r="Q315" s="23"/>
    </row>
    <row r="316" spans="1:17" ht="23.25" customHeight="1">
      <c r="A316" s="370" t="s">
        <v>936</v>
      </c>
      <c r="B316" s="475" t="s">
        <v>143</v>
      </c>
      <c r="C316" s="474">
        <v>100203</v>
      </c>
      <c r="D316" s="474">
        <v>2240</v>
      </c>
      <c r="E316" s="505"/>
      <c r="F316" s="530" t="s">
        <v>802</v>
      </c>
      <c r="G316" s="1354">
        <v>1</v>
      </c>
      <c r="H316" s="1354"/>
      <c r="I316" s="1354"/>
      <c r="J316" s="503">
        <f>J317+J318</f>
        <v>111385.6</v>
      </c>
      <c r="K316" s="1187"/>
      <c r="L316" s="272"/>
      <c r="M316" s="152"/>
      <c r="N316" s="164"/>
      <c r="O316" s="86"/>
      <c r="P316" s="23"/>
      <c r="Q316" s="23"/>
    </row>
    <row r="317" spans="1:17" ht="16.5" customHeight="1">
      <c r="A317" s="504"/>
      <c r="B317" s="469" t="s">
        <v>829</v>
      </c>
      <c r="C317" s="474"/>
      <c r="D317" s="474"/>
      <c r="E317" s="505" t="s">
        <v>937</v>
      </c>
      <c r="F317" s="282" t="s">
        <v>802</v>
      </c>
      <c r="G317" s="1243">
        <v>1</v>
      </c>
      <c r="H317" s="1243"/>
      <c r="I317" s="1243"/>
      <c r="J317" s="501">
        <f>67342.8+42256.8</f>
        <v>109599.6</v>
      </c>
      <c r="K317" s="1188"/>
      <c r="L317" s="272"/>
      <c r="M317" s="152"/>
      <c r="N317" s="164"/>
      <c r="O317" s="86"/>
      <c r="P317" s="23"/>
      <c r="Q317" s="23"/>
    </row>
    <row r="318" spans="1:16" ht="14.25" customHeight="1">
      <c r="A318" s="502"/>
      <c r="B318" s="469" t="s">
        <v>830</v>
      </c>
      <c r="C318" s="474"/>
      <c r="D318" s="474"/>
      <c r="E318" s="281" t="s">
        <v>799</v>
      </c>
      <c r="F318" s="282" t="s">
        <v>802</v>
      </c>
      <c r="G318" s="1342">
        <v>1</v>
      </c>
      <c r="H318" s="1342"/>
      <c r="I318" s="1342"/>
      <c r="J318" s="611">
        <v>1786</v>
      </c>
      <c r="K318" s="611"/>
      <c r="L318" s="272"/>
      <c r="M318" s="152"/>
      <c r="N318" s="164"/>
      <c r="O318" s="86"/>
      <c r="P318" s="23"/>
    </row>
    <row r="319" spans="1:16" ht="13.5" customHeight="1" hidden="1">
      <c r="A319" s="319"/>
      <c r="B319" s="471"/>
      <c r="C319" s="571"/>
      <c r="D319" s="571"/>
      <c r="E319" s="315"/>
      <c r="F319" s="615"/>
      <c r="G319" s="613"/>
      <c r="H319" s="217"/>
      <c r="I319" s="614"/>
      <c r="J319" s="612"/>
      <c r="K319" s="612"/>
      <c r="L319" s="316"/>
      <c r="M319" s="152"/>
      <c r="N319" s="164"/>
      <c r="O319" s="86"/>
      <c r="P319" s="23"/>
    </row>
    <row r="320" spans="1:16" ht="18" customHeight="1">
      <c r="A320" s="370" t="s">
        <v>64</v>
      </c>
      <c r="B320" s="469" t="s">
        <v>144</v>
      </c>
      <c r="C320" s="474">
        <v>100203</v>
      </c>
      <c r="D320" s="474">
        <v>2240</v>
      </c>
      <c r="E320" s="281"/>
      <c r="F320" s="530" t="s">
        <v>802</v>
      </c>
      <c r="G320" s="1306">
        <v>1</v>
      </c>
      <c r="H320" s="1306"/>
      <c r="I320" s="1306"/>
      <c r="J320" s="616">
        <f>J321+J322</f>
        <v>15264</v>
      </c>
      <c r="K320" s="616"/>
      <c r="L320" s="272"/>
      <c r="M320" s="152"/>
      <c r="N320" s="164"/>
      <c r="O320" s="86"/>
      <c r="P320" s="23"/>
    </row>
    <row r="321" spans="1:16" ht="18" customHeight="1">
      <c r="A321" s="319"/>
      <c r="B321" s="470" t="s">
        <v>829</v>
      </c>
      <c r="C321" s="571"/>
      <c r="D321" s="571"/>
      <c r="E321" s="322" t="s">
        <v>838</v>
      </c>
      <c r="F321" s="368" t="s">
        <v>802</v>
      </c>
      <c r="G321" s="1400">
        <v>1</v>
      </c>
      <c r="H321" s="1400"/>
      <c r="I321" s="1400"/>
      <c r="J321" s="781">
        <v>15012</v>
      </c>
      <c r="K321" s="781"/>
      <c r="L321" s="316"/>
      <c r="M321" s="152"/>
      <c r="N321" s="164"/>
      <c r="O321" s="86"/>
      <c r="P321" s="23"/>
    </row>
    <row r="322" spans="1:16" ht="18" customHeight="1">
      <c r="A322" s="319"/>
      <c r="B322" s="469" t="s">
        <v>830</v>
      </c>
      <c r="C322" s="474"/>
      <c r="D322" s="474"/>
      <c r="E322" s="281" t="s">
        <v>799</v>
      </c>
      <c r="F322" s="282" t="s">
        <v>802</v>
      </c>
      <c r="G322" s="1342">
        <v>1</v>
      </c>
      <c r="H322" s="1342"/>
      <c r="I322" s="1342"/>
      <c r="J322" s="611">
        <v>252</v>
      </c>
      <c r="K322" s="611"/>
      <c r="L322" s="316"/>
      <c r="M322" s="152"/>
      <c r="N322" s="164"/>
      <c r="O322" s="86"/>
      <c r="P322" s="23"/>
    </row>
    <row r="323" spans="1:16" ht="18" customHeight="1">
      <c r="A323" s="370" t="s">
        <v>141</v>
      </c>
      <c r="B323" s="469" t="s">
        <v>145</v>
      </c>
      <c r="C323" s="474"/>
      <c r="D323" s="474"/>
      <c r="E323" s="281"/>
      <c r="F323" s="282"/>
      <c r="G323" s="1353">
        <v>1</v>
      </c>
      <c r="H323" s="1261"/>
      <c r="I323" s="1262"/>
      <c r="J323" s="616">
        <f>J324+J325</f>
        <v>82669.2</v>
      </c>
      <c r="K323" s="616"/>
      <c r="L323" s="272"/>
      <c r="M323" s="152"/>
      <c r="N323" s="164"/>
      <c r="O323" s="86"/>
      <c r="P323" s="23"/>
    </row>
    <row r="324" spans="1:16" ht="18" customHeight="1">
      <c r="A324" s="504"/>
      <c r="B324" s="469" t="s">
        <v>829</v>
      </c>
      <c r="C324" s="474"/>
      <c r="D324" s="474"/>
      <c r="E324" s="505" t="s">
        <v>937</v>
      </c>
      <c r="F324" s="368" t="s">
        <v>802</v>
      </c>
      <c r="G324" s="1401">
        <v>1</v>
      </c>
      <c r="H324" s="1401"/>
      <c r="I324" s="1401"/>
      <c r="J324" s="384">
        <f>24384.96+56898.24</f>
        <v>81283.2</v>
      </c>
      <c r="K324" s="384"/>
      <c r="L324" s="272"/>
      <c r="M324" s="152"/>
      <c r="N324" s="164"/>
      <c r="O324" s="86"/>
      <c r="P324" s="23"/>
    </row>
    <row r="325" spans="1:16" ht="18" customHeight="1">
      <c r="A325" s="502"/>
      <c r="B325" s="469" t="s">
        <v>830</v>
      </c>
      <c r="C325" s="474"/>
      <c r="D325" s="474"/>
      <c r="E325" s="281" t="s">
        <v>799</v>
      </c>
      <c r="F325" s="282" t="s">
        <v>802</v>
      </c>
      <c r="G325" s="1342">
        <v>1</v>
      </c>
      <c r="H325" s="1342"/>
      <c r="I325" s="1342"/>
      <c r="J325" s="611">
        <v>1386</v>
      </c>
      <c r="K325" s="611"/>
      <c r="L325" s="272"/>
      <c r="M325" s="152"/>
      <c r="N325" s="164"/>
      <c r="O325" s="86"/>
      <c r="P325" s="23"/>
    </row>
    <row r="326" spans="1:16" ht="18" customHeight="1">
      <c r="A326" s="370" t="s">
        <v>142</v>
      </c>
      <c r="B326" s="469" t="s">
        <v>146</v>
      </c>
      <c r="C326" s="474"/>
      <c r="D326" s="474"/>
      <c r="E326" s="281"/>
      <c r="F326" s="282"/>
      <c r="G326" s="1353">
        <v>1</v>
      </c>
      <c r="H326" s="1261"/>
      <c r="I326" s="1262"/>
      <c r="J326" s="616">
        <f>J327+J328</f>
        <v>175315.4</v>
      </c>
      <c r="K326" s="616"/>
      <c r="L326" s="272"/>
      <c r="M326" s="152"/>
      <c r="N326" s="164"/>
      <c r="O326" s="86"/>
      <c r="P326" s="23"/>
    </row>
    <row r="327" spans="1:16" ht="18" customHeight="1">
      <c r="A327" s="370"/>
      <c r="B327" s="469" t="s">
        <v>829</v>
      </c>
      <c r="C327" s="474"/>
      <c r="D327" s="474"/>
      <c r="E327" s="505" t="s">
        <v>937</v>
      </c>
      <c r="F327" s="368" t="s">
        <v>802</v>
      </c>
      <c r="G327" s="1400">
        <v>1</v>
      </c>
      <c r="H327" s="1400"/>
      <c r="I327" s="1400"/>
      <c r="J327" s="384">
        <f>51712.92+344.28+120319.2</f>
        <v>172376.4</v>
      </c>
      <c r="K327" s="384"/>
      <c r="L327" s="272"/>
      <c r="M327" s="152"/>
      <c r="N327" s="164"/>
      <c r="O327" s="86"/>
      <c r="P327" s="23"/>
    </row>
    <row r="328" spans="1:16" ht="18" customHeight="1">
      <c r="A328" s="370"/>
      <c r="B328" s="469" t="s">
        <v>830</v>
      </c>
      <c r="C328" s="474"/>
      <c r="D328" s="474"/>
      <c r="E328" s="281" t="s">
        <v>799</v>
      </c>
      <c r="F328" s="282" t="s">
        <v>802</v>
      </c>
      <c r="G328" s="1342">
        <v>1</v>
      </c>
      <c r="H328" s="1342"/>
      <c r="I328" s="1342"/>
      <c r="J328" s="611">
        <v>2939</v>
      </c>
      <c r="K328" s="611"/>
      <c r="L328" s="272"/>
      <c r="M328" s="152"/>
      <c r="N328" s="164"/>
      <c r="O328" s="86"/>
      <c r="P328" s="23"/>
    </row>
    <row r="329" spans="1:16" ht="18" customHeight="1">
      <c r="A329" s="370" t="s">
        <v>399</v>
      </c>
      <c r="B329" s="469" t="s">
        <v>400</v>
      </c>
      <c r="C329" s="474"/>
      <c r="D329" s="474"/>
      <c r="E329" s="505"/>
      <c r="F329" s="368"/>
      <c r="G329" s="1358">
        <v>1</v>
      </c>
      <c r="H329" s="1359"/>
      <c r="I329" s="1360"/>
      <c r="J329" s="616">
        <f>J330+J331</f>
        <v>31344.8</v>
      </c>
      <c r="K329" s="616"/>
      <c r="L329" s="272"/>
      <c r="M329" s="152"/>
      <c r="N329" s="164"/>
      <c r="O329" s="86"/>
      <c r="P329" s="23"/>
    </row>
    <row r="330" spans="1:16" ht="18" customHeight="1">
      <c r="A330" s="370"/>
      <c r="B330" s="469" t="s">
        <v>829</v>
      </c>
      <c r="C330" s="474"/>
      <c r="D330" s="474"/>
      <c r="E330" s="505" t="s">
        <v>937</v>
      </c>
      <c r="F330" s="282" t="s">
        <v>802</v>
      </c>
      <c r="G330" s="1243">
        <v>1</v>
      </c>
      <c r="H330" s="1243"/>
      <c r="I330" s="1243"/>
      <c r="J330" s="384">
        <v>30832.8</v>
      </c>
      <c r="K330" s="384"/>
      <c r="L330" s="272"/>
      <c r="M330" s="152"/>
      <c r="N330" s="164"/>
      <c r="O330" s="86"/>
      <c r="P330" s="23"/>
    </row>
    <row r="331" spans="1:47" ht="18" customHeight="1">
      <c r="A331" s="370"/>
      <c r="B331" s="469" t="s">
        <v>830</v>
      </c>
      <c r="C331" s="474"/>
      <c r="D331" s="474"/>
      <c r="E331" s="281" t="s">
        <v>799</v>
      </c>
      <c r="F331" s="282" t="s">
        <v>802</v>
      </c>
      <c r="G331" s="1342">
        <v>1</v>
      </c>
      <c r="H331" s="1342"/>
      <c r="I331" s="1342"/>
      <c r="J331" s="384">
        <v>512</v>
      </c>
      <c r="K331" s="384"/>
      <c r="L331" s="272"/>
      <c r="M331" s="152"/>
      <c r="N331" s="1166"/>
      <c r="O331" s="1167"/>
      <c r="P331" s="226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</row>
    <row r="332" spans="1:47" s="189" customFormat="1" ht="18" customHeight="1">
      <c r="A332" s="1165" t="s">
        <v>633</v>
      </c>
      <c r="B332" s="473" t="s">
        <v>634</v>
      </c>
      <c r="C332" s="458"/>
      <c r="D332" s="458"/>
      <c r="E332" s="279"/>
      <c r="F332" s="530"/>
      <c r="G332" s="1147"/>
      <c r="H332" s="1148"/>
      <c r="I332" s="1149"/>
      <c r="J332" s="616">
        <f>J333+J334</f>
        <v>26087.9</v>
      </c>
      <c r="K332" s="616"/>
      <c r="L332" s="360"/>
      <c r="M332" s="1153"/>
      <c r="N332" s="164"/>
      <c r="O332" s="86"/>
      <c r="P332" s="23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</row>
    <row r="333" spans="1:16" ht="18" customHeight="1">
      <c r="A333" s="370"/>
      <c r="B333" s="469" t="s">
        <v>829</v>
      </c>
      <c r="C333" s="474"/>
      <c r="D333" s="474"/>
      <c r="E333" s="505" t="s">
        <v>937</v>
      </c>
      <c r="F333" s="282" t="s">
        <v>802</v>
      </c>
      <c r="G333" s="1243">
        <v>1</v>
      </c>
      <c r="H333" s="1243"/>
      <c r="I333" s="1243"/>
      <c r="J333" s="384">
        <v>25586</v>
      </c>
      <c r="K333" s="384"/>
      <c r="L333" s="272"/>
      <c r="M333" s="152"/>
      <c r="N333" s="164"/>
      <c r="O333" s="86"/>
      <c r="P333" s="23"/>
    </row>
    <row r="334" spans="1:16" ht="18" customHeight="1">
      <c r="A334" s="370"/>
      <c r="B334" s="469" t="s">
        <v>830</v>
      </c>
      <c r="C334" s="474"/>
      <c r="D334" s="474"/>
      <c r="E334" s="281" t="s">
        <v>17</v>
      </c>
      <c r="F334" s="282" t="s">
        <v>802</v>
      </c>
      <c r="G334" s="1342">
        <v>1</v>
      </c>
      <c r="H334" s="1342"/>
      <c r="I334" s="1342"/>
      <c r="J334" s="384">
        <v>501.9</v>
      </c>
      <c r="K334" s="384"/>
      <c r="L334" s="272"/>
      <c r="M334" s="152"/>
      <c r="N334" s="164"/>
      <c r="O334" s="86"/>
      <c r="P334" s="23"/>
    </row>
    <row r="335" spans="1:16" ht="18" customHeight="1">
      <c r="A335" s="370" t="s">
        <v>635</v>
      </c>
      <c r="B335" s="473" t="s">
        <v>636</v>
      </c>
      <c r="C335" s="458"/>
      <c r="D335" s="458"/>
      <c r="E335" s="279"/>
      <c r="F335" s="530"/>
      <c r="G335" s="1147"/>
      <c r="H335" s="1148"/>
      <c r="I335" s="1149"/>
      <c r="J335" s="616">
        <f>J336+J337</f>
        <v>25435.3</v>
      </c>
      <c r="K335" s="384"/>
      <c r="L335" s="272"/>
      <c r="M335" s="152"/>
      <c r="N335" s="164"/>
      <c r="O335" s="86"/>
      <c r="P335" s="23"/>
    </row>
    <row r="336" spans="1:16" ht="18" customHeight="1">
      <c r="A336" s="370"/>
      <c r="B336" s="469" t="s">
        <v>829</v>
      </c>
      <c r="C336" s="474"/>
      <c r="D336" s="474"/>
      <c r="E336" s="505" t="s">
        <v>937</v>
      </c>
      <c r="F336" s="282" t="s">
        <v>802</v>
      </c>
      <c r="G336" s="1243">
        <v>1</v>
      </c>
      <c r="H336" s="1243"/>
      <c r="I336" s="1243"/>
      <c r="J336" s="384">
        <v>24929.2</v>
      </c>
      <c r="K336" s="384"/>
      <c r="L336" s="272"/>
      <c r="M336" s="152"/>
      <c r="N336" s="164"/>
      <c r="O336" s="86"/>
      <c r="P336" s="23"/>
    </row>
    <row r="337" spans="1:16" ht="18" customHeight="1">
      <c r="A337" s="370"/>
      <c r="B337" s="469" t="s">
        <v>830</v>
      </c>
      <c r="C337" s="474"/>
      <c r="D337" s="474"/>
      <c r="E337" s="281" t="s">
        <v>17</v>
      </c>
      <c r="F337" s="282" t="s">
        <v>802</v>
      </c>
      <c r="G337" s="1342">
        <v>1</v>
      </c>
      <c r="H337" s="1342"/>
      <c r="I337" s="1342"/>
      <c r="J337" s="384">
        <v>506.1</v>
      </c>
      <c r="K337" s="384"/>
      <c r="L337" s="272"/>
      <c r="M337" s="152"/>
      <c r="N337" s="164"/>
      <c r="O337" s="86"/>
      <c r="P337" s="23"/>
    </row>
    <row r="338" spans="1:16" ht="18" customHeight="1">
      <c r="A338" s="370" t="s">
        <v>637</v>
      </c>
      <c r="B338" s="473" t="s">
        <v>638</v>
      </c>
      <c r="C338" s="458"/>
      <c r="D338" s="458"/>
      <c r="E338" s="279"/>
      <c r="F338" s="530"/>
      <c r="G338" s="1147"/>
      <c r="H338" s="1148"/>
      <c r="I338" s="1149"/>
      <c r="J338" s="616">
        <f>J339+J340</f>
        <v>35565.75</v>
      </c>
      <c r="K338" s="384"/>
      <c r="L338" s="272"/>
      <c r="M338" s="152"/>
      <c r="N338" s="164"/>
      <c r="O338" s="86"/>
      <c r="P338" s="23"/>
    </row>
    <row r="339" spans="1:16" ht="18" customHeight="1">
      <c r="A339" s="370"/>
      <c r="B339" s="469" t="s">
        <v>829</v>
      </c>
      <c r="C339" s="474"/>
      <c r="D339" s="474"/>
      <c r="E339" s="505" t="s">
        <v>937</v>
      </c>
      <c r="F339" s="282" t="s">
        <v>802</v>
      </c>
      <c r="G339" s="1243">
        <v>1</v>
      </c>
      <c r="H339" s="1243"/>
      <c r="I339" s="1243"/>
      <c r="J339" s="384">
        <v>34861.2</v>
      </c>
      <c r="K339" s="384"/>
      <c r="L339" s="272"/>
      <c r="M339" s="152"/>
      <c r="N339" s="164"/>
      <c r="O339" s="86"/>
      <c r="P339" s="23"/>
    </row>
    <row r="340" spans="1:16" ht="18" customHeight="1">
      <c r="A340" s="370"/>
      <c r="B340" s="469" t="s">
        <v>830</v>
      </c>
      <c r="C340" s="474"/>
      <c r="D340" s="474"/>
      <c r="E340" s="281" t="s">
        <v>17</v>
      </c>
      <c r="F340" s="282" t="s">
        <v>802</v>
      </c>
      <c r="G340" s="1342">
        <v>1</v>
      </c>
      <c r="H340" s="1342"/>
      <c r="I340" s="1342"/>
      <c r="J340" s="384">
        <v>704.55</v>
      </c>
      <c r="K340" s="384"/>
      <c r="L340" s="272"/>
      <c r="M340" s="152"/>
      <c r="N340" s="164"/>
      <c r="O340" s="86"/>
      <c r="P340" s="23"/>
    </row>
    <row r="341" spans="1:16" ht="18" customHeight="1">
      <c r="A341" s="331" t="s">
        <v>153</v>
      </c>
      <c r="B341" s="472" t="s">
        <v>154</v>
      </c>
      <c r="C341" s="474"/>
      <c r="D341" s="474"/>
      <c r="E341" s="281"/>
      <c r="F341" s="282"/>
      <c r="G341" s="1244"/>
      <c r="H341" s="1245"/>
      <c r="I341" s="1246"/>
      <c r="J341" s="565">
        <f>J342+J343</f>
        <v>199999.95</v>
      </c>
      <c r="K341" s="383"/>
      <c r="L341" s="272"/>
      <c r="M341" s="152"/>
      <c r="N341" s="164"/>
      <c r="O341" s="86"/>
      <c r="P341" s="23"/>
    </row>
    <row r="342" spans="1:16" ht="18" customHeight="1">
      <c r="A342" s="370" t="s">
        <v>171</v>
      </c>
      <c r="B342" s="469" t="s">
        <v>173</v>
      </c>
      <c r="C342" s="474"/>
      <c r="D342" s="474"/>
      <c r="E342" s="281" t="s">
        <v>156</v>
      </c>
      <c r="F342" s="282" t="s">
        <v>157</v>
      </c>
      <c r="G342" s="1244">
        <v>67.9</v>
      </c>
      <c r="H342" s="1245"/>
      <c r="I342" s="1246"/>
      <c r="J342" s="384">
        <f>25079.1+58517.9</f>
        <v>83597</v>
      </c>
      <c r="K342" s="384"/>
      <c r="L342" s="272"/>
      <c r="M342" s="152"/>
      <c r="N342" s="164"/>
      <c r="O342" s="86"/>
      <c r="P342" s="23"/>
    </row>
    <row r="343" spans="1:16" ht="18" customHeight="1">
      <c r="A343" s="370" t="s">
        <v>172</v>
      </c>
      <c r="B343" s="469" t="s">
        <v>155</v>
      </c>
      <c r="C343" s="1102"/>
      <c r="D343" s="782"/>
      <c r="E343" s="281" t="s">
        <v>156</v>
      </c>
      <c r="F343" s="282" t="s">
        <v>713</v>
      </c>
      <c r="G343" s="1244">
        <v>89</v>
      </c>
      <c r="H343" s="1245"/>
      <c r="I343" s="1245"/>
      <c r="J343" s="1103">
        <f>34920.88+81482.07</f>
        <v>116402.95000000001</v>
      </c>
      <c r="K343" s="384"/>
      <c r="L343" s="272"/>
      <c r="M343" s="152"/>
      <c r="N343" s="164"/>
      <c r="O343" s="86"/>
      <c r="P343" s="23"/>
    </row>
    <row r="344" spans="1:16" ht="18" customHeight="1" thickBot="1">
      <c r="A344" s="1096" t="s">
        <v>682</v>
      </c>
      <c r="B344" s="1097" t="s">
        <v>683</v>
      </c>
      <c r="C344" s="1104"/>
      <c r="D344" s="1098"/>
      <c r="E344" s="684" t="s">
        <v>824</v>
      </c>
      <c r="F344" s="1099" t="s">
        <v>711</v>
      </c>
      <c r="G344" s="1468">
        <f>123200+50380</f>
        <v>173580</v>
      </c>
      <c r="H344" s="1469"/>
      <c r="I344" s="1470"/>
      <c r="J344" s="1100">
        <f>11241.78+11241.78+17119.72</f>
        <v>39603.28</v>
      </c>
      <c r="K344" s="1101"/>
      <c r="L344" s="516"/>
      <c r="M344" s="152"/>
      <c r="N344" s="25"/>
      <c r="O344" s="86"/>
      <c r="P344" s="23"/>
    </row>
    <row r="345" spans="1:16" ht="28.5" customHeight="1" thickBot="1">
      <c r="A345" s="819" t="s">
        <v>29</v>
      </c>
      <c r="B345" s="804" t="s">
        <v>56</v>
      </c>
      <c r="C345" s="798">
        <v>100203</v>
      </c>
      <c r="D345" s="820">
        <v>3000</v>
      </c>
      <c r="E345" s="821"/>
      <c r="F345" s="822"/>
      <c r="G345" s="823"/>
      <c r="H345" s="824"/>
      <c r="I345" s="825"/>
      <c r="J345" s="826">
        <f>J346+J353</f>
        <v>3063770.93</v>
      </c>
      <c r="K345" s="826">
        <v>3063770.93</v>
      </c>
      <c r="L345" s="817"/>
      <c r="M345" s="45"/>
      <c r="N345" s="99"/>
      <c r="O345" s="86"/>
      <c r="P345" s="23"/>
    </row>
    <row r="346" spans="1:16" ht="28.5" customHeight="1">
      <c r="A346" s="637" t="s">
        <v>801</v>
      </c>
      <c r="B346" s="785" t="s">
        <v>201</v>
      </c>
      <c r="C346" s="258">
        <v>100203</v>
      </c>
      <c r="D346" s="786">
        <v>3110</v>
      </c>
      <c r="E346" s="315"/>
      <c r="F346" s="280" t="s">
        <v>713</v>
      </c>
      <c r="G346" s="1464">
        <v>8</v>
      </c>
      <c r="H346" s="1465"/>
      <c r="I346" s="1466"/>
      <c r="J346" s="787">
        <f>J347+J348+J349+J350+J351+J352</f>
        <v>299959</v>
      </c>
      <c r="K346" s="787"/>
      <c r="L346" s="659"/>
      <c r="M346" s="45"/>
      <c r="N346" s="99"/>
      <c r="O346" s="86"/>
      <c r="P346" s="23"/>
    </row>
    <row r="347" spans="1:16" ht="18" customHeight="1">
      <c r="A347" s="370" t="s">
        <v>31</v>
      </c>
      <c r="B347" s="790" t="s">
        <v>209</v>
      </c>
      <c r="C347" s="258"/>
      <c r="D347" s="791"/>
      <c r="E347" s="281" t="s">
        <v>662</v>
      </c>
      <c r="F347" s="340" t="s">
        <v>713</v>
      </c>
      <c r="G347" s="1338">
        <v>4</v>
      </c>
      <c r="H347" s="1338"/>
      <c r="I347" s="1338"/>
      <c r="J347" s="566">
        <v>29996</v>
      </c>
      <c r="K347" s="566"/>
      <c r="L347" s="272"/>
      <c r="M347" s="23"/>
      <c r="N347" s="99"/>
      <c r="O347" s="86"/>
      <c r="P347" s="23"/>
    </row>
    <row r="348" spans="1:16" ht="21.75" customHeight="1">
      <c r="A348" s="370" t="s">
        <v>151</v>
      </c>
      <c r="B348" s="790" t="s">
        <v>206</v>
      </c>
      <c r="C348" s="254"/>
      <c r="D348" s="791"/>
      <c r="E348" s="281" t="s">
        <v>661</v>
      </c>
      <c r="F348" s="340" t="s">
        <v>713</v>
      </c>
      <c r="G348" s="1338">
        <v>1</v>
      </c>
      <c r="H348" s="1338"/>
      <c r="I348" s="1338"/>
      <c r="J348" s="566">
        <v>26496</v>
      </c>
      <c r="K348" s="566"/>
      <c r="L348" s="317"/>
      <c r="M348" s="23"/>
      <c r="N348" s="149"/>
      <c r="O348" s="86"/>
      <c r="P348" s="23"/>
    </row>
    <row r="349" spans="1:16" ht="19.5" customHeight="1">
      <c r="A349" s="370" t="s">
        <v>161</v>
      </c>
      <c r="B349" s="790" t="s">
        <v>207</v>
      </c>
      <c r="C349" s="254"/>
      <c r="D349" s="791"/>
      <c r="E349" s="281" t="s">
        <v>661</v>
      </c>
      <c r="F349" s="340" t="s">
        <v>713</v>
      </c>
      <c r="G349" s="1339">
        <v>1</v>
      </c>
      <c r="H349" s="1340"/>
      <c r="I349" s="1341"/>
      <c r="J349" s="566">
        <v>34496</v>
      </c>
      <c r="K349" s="566"/>
      <c r="L349" s="272"/>
      <c r="M349" s="23"/>
      <c r="N349" s="149"/>
      <c r="O349" s="86"/>
      <c r="P349" s="23"/>
    </row>
    <row r="350" spans="1:16" ht="24" customHeight="1">
      <c r="A350" s="502" t="s">
        <v>497</v>
      </c>
      <c r="B350" s="837" t="s">
        <v>499</v>
      </c>
      <c r="C350" s="258"/>
      <c r="D350" s="1084"/>
      <c r="E350" s="341" t="s">
        <v>660</v>
      </c>
      <c r="F350" s="447" t="s">
        <v>713</v>
      </c>
      <c r="G350" s="1339">
        <v>1</v>
      </c>
      <c r="H350" s="1340"/>
      <c r="I350" s="1341"/>
      <c r="J350" s="1028">
        <v>79000</v>
      </c>
      <c r="K350" s="1028"/>
      <c r="L350" s="332"/>
      <c r="M350" s="23"/>
      <c r="N350" s="149"/>
      <c r="O350" s="86"/>
      <c r="P350" s="23"/>
    </row>
    <row r="351" spans="1:16" ht="19.5" customHeight="1">
      <c r="A351" s="502" t="s">
        <v>498</v>
      </c>
      <c r="B351" s="837" t="s">
        <v>500</v>
      </c>
      <c r="C351" s="258"/>
      <c r="D351" s="1084"/>
      <c r="E351" s="325" t="s">
        <v>659</v>
      </c>
      <c r="F351" s="447" t="s">
        <v>713</v>
      </c>
      <c r="G351" s="1339">
        <v>1</v>
      </c>
      <c r="H351" s="1340"/>
      <c r="I351" s="1341"/>
      <c r="J351" s="1028">
        <v>120000</v>
      </c>
      <c r="K351" s="1028"/>
      <c r="L351" s="332"/>
      <c r="M351" s="23"/>
      <c r="N351" s="149"/>
      <c r="O351" s="86"/>
      <c r="P351" s="23"/>
    </row>
    <row r="352" spans="1:16" ht="19.5" customHeight="1">
      <c r="A352" s="502"/>
      <c r="B352" s="837" t="s">
        <v>462</v>
      </c>
      <c r="C352" s="258"/>
      <c r="D352" s="1084"/>
      <c r="E352" s="325" t="s">
        <v>662</v>
      </c>
      <c r="F352" s="447" t="s">
        <v>713</v>
      </c>
      <c r="G352" s="1339">
        <v>1</v>
      </c>
      <c r="H352" s="1340"/>
      <c r="I352" s="1341"/>
      <c r="J352" s="1028">
        <v>9971</v>
      </c>
      <c r="K352" s="1028"/>
      <c r="L352" s="332"/>
      <c r="M352" s="23"/>
      <c r="N352" s="149"/>
      <c r="O352" s="86"/>
      <c r="P352" s="23"/>
    </row>
    <row r="353" spans="1:16" ht="24.75" customHeight="1">
      <c r="A353" s="502"/>
      <c r="B353" s="1055" t="s">
        <v>419</v>
      </c>
      <c r="C353" s="836"/>
      <c r="D353" s="1056"/>
      <c r="E353" s="325"/>
      <c r="F353" s="318"/>
      <c r="G353" s="1025"/>
      <c r="H353" s="1026"/>
      <c r="I353" s="1027"/>
      <c r="J353" s="1029">
        <f>J354+J364+J400+J407</f>
        <v>2763811.93</v>
      </c>
      <c r="K353" s="1029"/>
      <c r="L353" s="332"/>
      <c r="M353" s="23"/>
      <c r="N353" s="149"/>
      <c r="O353" s="86"/>
      <c r="P353" s="23"/>
    </row>
    <row r="354" spans="1:16" ht="18" customHeight="1">
      <c r="A354" s="625" t="s">
        <v>794</v>
      </c>
      <c r="B354" s="784" t="s">
        <v>200</v>
      </c>
      <c r="C354" s="257">
        <v>100203</v>
      </c>
      <c r="D354" s="258">
        <v>3132</v>
      </c>
      <c r="E354" s="325"/>
      <c r="F354" s="496" t="s">
        <v>711</v>
      </c>
      <c r="G354" s="1315">
        <f>G356+G359</f>
        <v>1739</v>
      </c>
      <c r="H354" s="1316"/>
      <c r="I354" s="1317"/>
      <c r="J354" s="235">
        <f>J355+J359</f>
        <v>958140.8</v>
      </c>
      <c r="K354" s="235"/>
      <c r="L354" s="332"/>
      <c r="M354" s="152"/>
      <c r="N354" s="149"/>
      <c r="O354" s="86"/>
      <c r="P354" s="23"/>
    </row>
    <row r="355" spans="1:16" ht="18" customHeight="1">
      <c r="A355" s="502" t="s">
        <v>158</v>
      </c>
      <c r="B355" s="473" t="s">
        <v>160</v>
      </c>
      <c r="C355" s="279"/>
      <c r="D355" s="280"/>
      <c r="E355" s="281"/>
      <c r="F355" s="496" t="s">
        <v>711</v>
      </c>
      <c r="G355" s="1224">
        <f>G356</f>
        <v>797</v>
      </c>
      <c r="H355" s="1225"/>
      <c r="I355" s="1226"/>
      <c r="J355" s="360">
        <f>J356+J357+J358</f>
        <v>420393.4</v>
      </c>
      <c r="K355" s="360"/>
      <c r="L355" s="272"/>
      <c r="M355" s="152"/>
      <c r="N355" s="149"/>
      <c r="O355" s="86"/>
      <c r="P355" s="23"/>
    </row>
    <row r="356" spans="1:16" ht="18" customHeight="1">
      <c r="A356" s="632"/>
      <c r="B356" s="469" t="s">
        <v>829</v>
      </c>
      <c r="C356" s="385"/>
      <c r="D356" s="280"/>
      <c r="E356" s="281" t="s">
        <v>838</v>
      </c>
      <c r="F356" s="352" t="s">
        <v>711</v>
      </c>
      <c r="G356" s="1307">
        <v>797</v>
      </c>
      <c r="H356" s="1307"/>
      <c r="I356" s="1307"/>
      <c r="J356" s="272">
        <f>247791.19+164393.21</f>
        <v>412184.4</v>
      </c>
      <c r="K356" s="272"/>
      <c r="L356" s="272"/>
      <c r="M356" s="152"/>
      <c r="N356" s="149"/>
      <c r="O356" s="86"/>
      <c r="P356" s="23"/>
    </row>
    <row r="357" spans="1:16" ht="18" customHeight="1">
      <c r="A357" s="632"/>
      <c r="B357" s="729" t="s">
        <v>830</v>
      </c>
      <c r="C357" s="788"/>
      <c r="D357" s="789"/>
      <c r="E357" s="281" t="s">
        <v>799</v>
      </c>
      <c r="F357" s="282" t="s">
        <v>802</v>
      </c>
      <c r="G357" s="1467">
        <v>1</v>
      </c>
      <c r="H357" s="1467"/>
      <c r="I357" s="1467"/>
      <c r="J357" s="566">
        <v>7357</v>
      </c>
      <c r="K357" s="566"/>
      <c r="L357" s="272"/>
      <c r="M357" s="152"/>
      <c r="N357" s="149"/>
      <c r="O357" s="86"/>
      <c r="P357" s="23"/>
    </row>
    <row r="358" spans="1:16" ht="18" customHeight="1">
      <c r="A358" s="632"/>
      <c r="B358" s="729" t="s">
        <v>9</v>
      </c>
      <c r="C358" s="729"/>
      <c r="D358" s="729"/>
      <c r="E358" s="281" t="s">
        <v>838</v>
      </c>
      <c r="F358" s="282" t="s">
        <v>802</v>
      </c>
      <c r="G358" s="1467">
        <v>1</v>
      </c>
      <c r="H358" s="1467"/>
      <c r="I358" s="1467"/>
      <c r="J358" s="566">
        <v>852</v>
      </c>
      <c r="K358" s="566"/>
      <c r="L358" s="272"/>
      <c r="M358" s="152"/>
      <c r="N358" s="149"/>
      <c r="O358" s="86"/>
      <c r="P358" s="23"/>
    </row>
    <row r="359" spans="1:16" ht="18" customHeight="1">
      <c r="A359" s="502" t="s">
        <v>884</v>
      </c>
      <c r="B359" s="469" t="s">
        <v>152</v>
      </c>
      <c r="C359" s="364"/>
      <c r="D359" s="254"/>
      <c r="E359" s="281"/>
      <c r="F359" s="496" t="s">
        <v>711</v>
      </c>
      <c r="G359" s="1323">
        <f>G360</f>
        <v>942</v>
      </c>
      <c r="H359" s="1324"/>
      <c r="I359" s="1325"/>
      <c r="J359" s="360">
        <f>J360+J363+J361+J362</f>
        <v>537747.4</v>
      </c>
      <c r="K359" s="360"/>
      <c r="L359" s="272"/>
      <c r="M359" s="152"/>
      <c r="N359" s="164"/>
      <c r="O359" s="86"/>
      <c r="P359" s="23"/>
    </row>
    <row r="360" spans="1:16" ht="18" customHeight="1">
      <c r="A360" s="632"/>
      <c r="B360" s="469" t="s">
        <v>829</v>
      </c>
      <c r="C360" s="364"/>
      <c r="D360" s="254"/>
      <c r="E360" s="281" t="s">
        <v>838</v>
      </c>
      <c r="F360" s="352" t="s">
        <v>711</v>
      </c>
      <c r="G360" s="1307">
        <v>942</v>
      </c>
      <c r="H360" s="1307"/>
      <c r="I360" s="1307"/>
      <c r="J360" s="272">
        <f>264812+190362.4+64209.6</f>
        <v>519384</v>
      </c>
      <c r="K360" s="272"/>
      <c r="L360" s="272"/>
      <c r="M360" s="152"/>
      <c r="N360" s="164"/>
      <c r="O360" s="86"/>
      <c r="P360" s="23"/>
    </row>
    <row r="361" spans="1:16" ht="18" customHeight="1">
      <c r="A361" s="632"/>
      <c r="B361" s="729" t="s">
        <v>892</v>
      </c>
      <c r="C361" s="729"/>
      <c r="D361" s="729"/>
      <c r="E361" s="281" t="s">
        <v>838</v>
      </c>
      <c r="F361" s="1046" t="s">
        <v>713</v>
      </c>
      <c r="G361" s="1338">
        <v>1</v>
      </c>
      <c r="H361" s="1338"/>
      <c r="I361" s="1338"/>
      <c r="J361" s="566">
        <v>6896.4</v>
      </c>
      <c r="K361" s="566"/>
      <c r="L361" s="272"/>
      <c r="M361" s="152"/>
      <c r="N361" s="164"/>
      <c r="O361" s="86"/>
      <c r="P361" s="23"/>
    </row>
    <row r="362" spans="1:16" ht="18" customHeight="1">
      <c r="A362" s="632"/>
      <c r="B362" s="729" t="s">
        <v>830</v>
      </c>
      <c r="C362" s="364"/>
      <c r="D362" s="254"/>
      <c r="E362" s="281" t="s">
        <v>17</v>
      </c>
      <c r="F362" s="282" t="s">
        <v>802</v>
      </c>
      <c r="G362" s="1319">
        <v>1</v>
      </c>
      <c r="H362" s="1320"/>
      <c r="I362" s="1321"/>
      <c r="J362" s="272">
        <v>9235</v>
      </c>
      <c r="K362" s="272"/>
      <c r="L362" s="272"/>
      <c r="M362" s="152"/>
      <c r="N362" s="184"/>
      <c r="O362" s="86"/>
      <c r="P362" s="23"/>
    </row>
    <row r="363" spans="1:16" ht="19.5" customHeight="1">
      <c r="A363" s="633"/>
      <c r="B363" s="729" t="s">
        <v>9</v>
      </c>
      <c r="C363" s="729"/>
      <c r="D363" s="729"/>
      <c r="E363" s="281" t="s">
        <v>838</v>
      </c>
      <c r="F363" s="282" t="s">
        <v>802</v>
      </c>
      <c r="G363" s="1338">
        <v>1</v>
      </c>
      <c r="H363" s="1338"/>
      <c r="I363" s="1338"/>
      <c r="J363" s="566">
        <v>2232</v>
      </c>
      <c r="K363" s="566"/>
      <c r="L363" s="360"/>
      <c r="M363" s="152"/>
      <c r="N363" s="164"/>
      <c r="O363" s="86"/>
      <c r="P363" s="23"/>
    </row>
    <row r="364" spans="1:16" ht="27.75" customHeight="1">
      <c r="A364" s="625" t="s">
        <v>795</v>
      </c>
      <c r="B364" s="472" t="s">
        <v>208</v>
      </c>
      <c r="C364" s="634"/>
      <c r="D364" s="634"/>
      <c r="E364" s="281"/>
      <c r="F364" s="652" t="s">
        <v>713</v>
      </c>
      <c r="G364" s="1353">
        <v>5</v>
      </c>
      <c r="H364" s="1261"/>
      <c r="I364" s="1262"/>
      <c r="J364" s="565">
        <f>J365+J370+J375+J380+J385+J391+J393+J395+J397+J399</f>
        <v>882697.8500000001</v>
      </c>
      <c r="K364" s="565"/>
      <c r="L364" s="360"/>
      <c r="M364" s="152"/>
      <c r="N364" s="164"/>
      <c r="O364" s="86"/>
      <c r="P364" s="23"/>
    </row>
    <row r="365" spans="1:16" ht="49.5" customHeight="1">
      <c r="A365" s="370" t="s">
        <v>159</v>
      </c>
      <c r="B365" s="1092" t="s">
        <v>650</v>
      </c>
      <c r="C365" s="1093"/>
      <c r="D365" s="1093"/>
      <c r="E365" s="782"/>
      <c r="F365" s="511" t="s">
        <v>713</v>
      </c>
      <c r="G365" s="1306">
        <v>1</v>
      </c>
      <c r="H365" s="1306"/>
      <c r="I365" s="1306"/>
      <c r="J365" s="565">
        <f>J366+J367+J368+J369</f>
        <v>163598.05</v>
      </c>
      <c r="K365" s="383"/>
      <c r="L365" s="531"/>
      <c r="M365" s="152"/>
      <c r="N365" s="164"/>
      <c r="O365" s="86"/>
      <c r="P365" s="23"/>
    </row>
    <row r="366" spans="1:16" ht="17.25" customHeight="1">
      <c r="A366" s="370"/>
      <c r="B366" s="970" t="s">
        <v>651</v>
      </c>
      <c r="C366" s="1093"/>
      <c r="D366" s="1093"/>
      <c r="E366" s="273" t="s">
        <v>176</v>
      </c>
      <c r="F366" s="368" t="s">
        <v>713</v>
      </c>
      <c r="G366" s="1391">
        <v>1</v>
      </c>
      <c r="H366" s="1392"/>
      <c r="I366" s="1393"/>
      <c r="J366" s="272">
        <v>4305</v>
      </c>
      <c r="K366" s="272"/>
      <c r="L366" s="531"/>
      <c r="M366" s="152"/>
      <c r="N366" s="164"/>
      <c r="O366" s="86"/>
      <c r="P366" s="23"/>
    </row>
    <row r="367" spans="1:16" ht="18" customHeight="1">
      <c r="A367" s="370"/>
      <c r="B367" s="970" t="s">
        <v>829</v>
      </c>
      <c r="C367" s="1093"/>
      <c r="D367" s="1093"/>
      <c r="E367" s="273" t="s">
        <v>461</v>
      </c>
      <c r="F367" s="368" t="s">
        <v>713</v>
      </c>
      <c r="G367" s="1391">
        <v>1</v>
      </c>
      <c r="H367" s="1392"/>
      <c r="I367" s="1393"/>
      <c r="J367" s="272">
        <v>156004.8</v>
      </c>
      <c r="K367" s="272"/>
      <c r="L367" s="531"/>
      <c r="M367" s="152"/>
      <c r="N367" s="164"/>
      <c r="O367" s="86"/>
      <c r="P367" s="23"/>
    </row>
    <row r="368" spans="1:16" ht="18" customHeight="1">
      <c r="A368" s="370"/>
      <c r="B368" s="970" t="s">
        <v>9</v>
      </c>
      <c r="C368" s="1093"/>
      <c r="D368" s="1093"/>
      <c r="E368" s="273"/>
      <c r="F368" s="368"/>
      <c r="G368" s="1391">
        <v>1</v>
      </c>
      <c r="H368" s="1392"/>
      <c r="I368" s="1393"/>
      <c r="J368" s="272">
        <v>488.25</v>
      </c>
      <c r="K368" s="272"/>
      <c r="L368" s="531"/>
      <c r="M368" s="152"/>
      <c r="N368" s="164"/>
      <c r="O368" s="86"/>
      <c r="P368" s="23"/>
    </row>
    <row r="369" spans="1:16" ht="18" customHeight="1">
      <c r="A369" s="370"/>
      <c r="B369" s="970" t="s">
        <v>830</v>
      </c>
      <c r="C369" s="1093"/>
      <c r="D369" s="1093"/>
      <c r="E369" s="273"/>
      <c r="F369" s="368"/>
      <c r="G369" s="1391">
        <v>1</v>
      </c>
      <c r="H369" s="1392"/>
      <c r="I369" s="1393"/>
      <c r="J369" s="272">
        <v>2800</v>
      </c>
      <c r="K369" s="272"/>
      <c r="L369" s="531"/>
      <c r="M369" s="152"/>
      <c r="N369" s="164"/>
      <c r="O369" s="86"/>
      <c r="P369" s="23"/>
    </row>
    <row r="370" spans="1:16" ht="49.5" customHeight="1">
      <c r="A370" s="370" t="s">
        <v>898</v>
      </c>
      <c r="B370" s="1092" t="s">
        <v>654</v>
      </c>
      <c r="C370" s="1093"/>
      <c r="D370" s="1093"/>
      <c r="E370" s="273"/>
      <c r="F370" s="282" t="s">
        <v>802</v>
      </c>
      <c r="G370" s="1306">
        <v>1</v>
      </c>
      <c r="H370" s="1306"/>
      <c r="I370" s="1306"/>
      <c r="J370" s="234">
        <f>J371+J372+J373+J374</f>
        <v>201908.65</v>
      </c>
      <c r="K370" s="234"/>
      <c r="L370" s="531"/>
      <c r="M370" s="152"/>
      <c r="N370" s="164"/>
      <c r="O370" s="86"/>
      <c r="P370" s="23"/>
    </row>
    <row r="371" spans="1:16" ht="15" customHeight="1">
      <c r="A371" s="370"/>
      <c r="B371" s="970" t="s">
        <v>651</v>
      </c>
      <c r="C371" s="1093"/>
      <c r="D371" s="1093"/>
      <c r="E371" s="273" t="s">
        <v>176</v>
      </c>
      <c r="F371" s="368" t="s">
        <v>713</v>
      </c>
      <c r="G371" s="1391">
        <v>1</v>
      </c>
      <c r="H371" s="1392"/>
      <c r="I371" s="1393"/>
      <c r="J371" s="272">
        <v>4305</v>
      </c>
      <c r="K371" s="272"/>
      <c r="L371" s="531"/>
      <c r="M371" s="152"/>
      <c r="N371" s="164"/>
      <c r="O371" s="86"/>
      <c r="P371" s="23"/>
    </row>
    <row r="372" spans="1:16" ht="17.25" customHeight="1">
      <c r="A372" s="370"/>
      <c r="B372" s="970" t="s">
        <v>829</v>
      </c>
      <c r="C372" s="1093"/>
      <c r="D372" s="1093"/>
      <c r="E372" s="273" t="s">
        <v>461</v>
      </c>
      <c r="F372" s="368" t="s">
        <v>713</v>
      </c>
      <c r="G372" s="1391">
        <v>1</v>
      </c>
      <c r="H372" s="1392"/>
      <c r="I372" s="1393"/>
      <c r="J372" s="272">
        <f>175347.78+18292.62</f>
        <v>193640.4</v>
      </c>
      <c r="K372" s="272"/>
      <c r="L372" s="531"/>
      <c r="M372" s="152"/>
      <c r="N372" s="164"/>
      <c r="O372" s="86"/>
      <c r="P372" s="23"/>
    </row>
    <row r="373" spans="1:16" ht="13.5" customHeight="1">
      <c r="A373" s="370"/>
      <c r="B373" s="970" t="s">
        <v>9</v>
      </c>
      <c r="C373" s="1093"/>
      <c r="D373" s="1093"/>
      <c r="E373" s="273"/>
      <c r="F373" s="368"/>
      <c r="G373" s="1391">
        <v>1</v>
      </c>
      <c r="H373" s="1392"/>
      <c r="I373" s="1393"/>
      <c r="J373" s="272">
        <v>488.25</v>
      </c>
      <c r="K373" s="272"/>
      <c r="L373" s="531"/>
      <c r="M373" s="152"/>
      <c r="N373" s="164"/>
      <c r="O373" s="86"/>
      <c r="P373" s="23"/>
    </row>
    <row r="374" spans="1:16" ht="14.25" customHeight="1">
      <c r="A374" s="370"/>
      <c r="B374" s="970" t="s">
        <v>830</v>
      </c>
      <c r="C374" s="1093"/>
      <c r="D374" s="1093"/>
      <c r="E374" s="273"/>
      <c r="F374" s="368"/>
      <c r="G374" s="1391">
        <v>1</v>
      </c>
      <c r="H374" s="1392"/>
      <c r="I374" s="1393"/>
      <c r="J374" s="272">
        <v>3475</v>
      </c>
      <c r="K374" s="272"/>
      <c r="L374" s="531"/>
      <c r="M374" s="152"/>
      <c r="N374" s="164"/>
      <c r="O374" s="86"/>
      <c r="P374" s="23"/>
    </row>
    <row r="375" spans="1:16" ht="48.75" customHeight="1">
      <c r="A375" s="370" t="s">
        <v>188</v>
      </c>
      <c r="B375" s="1092" t="s">
        <v>652</v>
      </c>
      <c r="C375" s="1093"/>
      <c r="D375" s="1093"/>
      <c r="E375" s="273"/>
      <c r="F375" s="282" t="s">
        <v>802</v>
      </c>
      <c r="G375" s="1306">
        <v>1</v>
      </c>
      <c r="H375" s="1306"/>
      <c r="I375" s="1306"/>
      <c r="J375" s="234">
        <f>J376+J377+J378+J379</f>
        <v>149622.65</v>
      </c>
      <c r="K375" s="234"/>
      <c r="L375" s="360"/>
      <c r="M375" s="152"/>
      <c r="N375" s="164"/>
      <c r="O375" s="86"/>
      <c r="P375" s="23"/>
    </row>
    <row r="376" spans="1:16" ht="17.25" customHeight="1">
      <c r="A376" s="370"/>
      <c r="B376" s="970" t="s">
        <v>651</v>
      </c>
      <c r="C376" s="1093"/>
      <c r="D376" s="1093"/>
      <c r="E376" s="273" t="s">
        <v>176</v>
      </c>
      <c r="F376" s="368" t="s">
        <v>713</v>
      </c>
      <c r="G376" s="1391">
        <v>1</v>
      </c>
      <c r="H376" s="1392"/>
      <c r="I376" s="1393"/>
      <c r="J376" s="272">
        <v>4305</v>
      </c>
      <c r="K376" s="272"/>
      <c r="L376" s="531"/>
      <c r="M376" s="152"/>
      <c r="N376" s="164"/>
      <c r="O376" s="86"/>
      <c r="P376" s="23"/>
    </row>
    <row r="377" spans="1:16" ht="13.5" customHeight="1">
      <c r="A377" s="370"/>
      <c r="B377" s="970" t="s">
        <v>829</v>
      </c>
      <c r="C377" s="1093"/>
      <c r="D377" s="1093"/>
      <c r="E377" s="273" t="s">
        <v>461</v>
      </c>
      <c r="F377" s="368" t="s">
        <v>713</v>
      </c>
      <c r="G377" s="1391">
        <v>1</v>
      </c>
      <c r="H377" s="1392"/>
      <c r="I377" s="1393"/>
      <c r="J377" s="272">
        <v>142274.4</v>
      </c>
      <c r="K377" s="272"/>
      <c r="L377" s="531"/>
      <c r="M377" s="152"/>
      <c r="N377" s="164"/>
      <c r="O377" s="86"/>
      <c r="P377" s="23"/>
    </row>
    <row r="378" spans="1:16" ht="13.5" customHeight="1">
      <c r="A378" s="370"/>
      <c r="B378" s="970" t="s">
        <v>9</v>
      </c>
      <c r="C378" s="1093"/>
      <c r="D378" s="1093"/>
      <c r="E378" s="273"/>
      <c r="F378" s="368"/>
      <c r="G378" s="1391">
        <v>1</v>
      </c>
      <c r="H378" s="1392"/>
      <c r="I378" s="1393"/>
      <c r="J378" s="272">
        <v>488.25</v>
      </c>
      <c r="K378" s="272"/>
      <c r="L378" s="531"/>
      <c r="M378" s="152"/>
      <c r="N378" s="164"/>
      <c r="O378" s="86"/>
      <c r="P378" s="23"/>
    </row>
    <row r="379" spans="1:16" ht="13.5" customHeight="1">
      <c r="A379" s="370"/>
      <c r="B379" s="970" t="s">
        <v>830</v>
      </c>
      <c r="C379" s="1093"/>
      <c r="D379" s="1093"/>
      <c r="E379" s="273"/>
      <c r="F379" s="368"/>
      <c r="G379" s="1391">
        <v>1</v>
      </c>
      <c r="H379" s="1392"/>
      <c r="I379" s="1393"/>
      <c r="J379" s="272">
        <v>2555</v>
      </c>
      <c r="K379" s="272"/>
      <c r="L379" s="531"/>
      <c r="M379" s="152"/>
      <c r="N379" s="164"/>
      <c r="O379" s="86"/>
      <c r="P379" s="23"/>
    </row>
    <row r="380" spans="1:16" ht="59.25" customHeight="1">
      <c r="A380" s="370" t="s">
        <v>189</v>
      </c>
      <c r="B380" s="1092" t="s">
        <v>653</v>
      </c>
      <c r="C380" s="1093"/>
      <c r="D380" s="1093"/>
      <c r="E380" s="273"/>
      <c r="F380" s="282" t="s">
        <v>802</v>
      </c>
      <c r="G380" s="1306">
        <v>1</v>
      </c>
      <c r="H380" s="1306"/>
      <c r="I380" s="1306"/>
      <c r="J380" s="234">
        <f>J381+J382+J383+J384</f>
        <v>194171.45</v>
      </c>
      <c r="K380" s="234"/>
      <c r="L380" s="531"/>
      <c r="M380" s="152"/>
      <c r="N380" s="164"/>
      <c r="O380" s="86"/>
      <c r="P380" s="23"/>
    </row>
    <row r="381" spans="1:16" ht="14.25" customHeight="1">
      <c r="A381" s="370"/>
      <c r="B381" s="970" t="s">
        <v>651</v>
      </c>
      <c r="C381" s="1093"/>
      <c r="D381" s="1093"/>
      <c r="E381" s="273" t="s">
        <v>176</v>
      </c>
      <c r="F381" s="368" t="s">
        <v>713</v>
      </c>
      <c r="G381" s="1391">
        <v>1</v>
      </c>
      <c r="H381" s="1392"/>
      <c r="I381" s="1393"/>
      <c r="J381" s="272">
        <v>4305</v>
      </c>
      <c r="K381" s="272"/>
      <c r="L381" s="531"/>
      <c r="M381" s="152"/>
      <c r="N381" s="164"/>
      <c r="O381" s="86"/>
      <c r="P381" s="23"/>
    </row>
    <row r="382" spans="1:16" ht="15" customHeight="1">
      <c r="A382" s="370"/>
      <c r="B382" s="970" t="s">
        <v>829</v>
      </c>
      <c r="C382" s="1093"/>
      <c r="D382" s="1093"/>
      <c r="E382" s="273" t="s">
        <v>461</v>
      </c>
      <c r="F382" s="368"/>
      <c r="G382" s="1391">
        <v>1</v>
      </c>
      <c r="H382" s="1392"/>
      <c r="I382" s="1393"/>
      <c r="J382" s="272">
        <f>144093.66+41943.54</f>
        <v>186037.2</v>
      </c>
      <c r="K382" s="272"/>
      <c r="L382" s="531"/>
      <c r="M382" s="152"/>
      <c r="N382" s="164"/>
      <c r="O382" s="86"/>
      <c r="P382" s="23"/>
    </row>
    <row r="383" spans="1:16" ht="13.5" customHeight="1">
      <c r="A383" s="370"/>
      <c r="B383" s="970" t="s">
        <v>9</v>
      </c>
      <c r="C383" s="1093"/>
      <c r="D383" s="1093"/>
      <c r="E383" s="273"/>
      <c r="F383" s="368"/>
      <c r="G383" s="1391">
        <v>1</v>
      </c>
      <c r="H383" s="1392"/>
      <c r="I383" s="1393"/>
      <c r="J383" s="272">
        <v>488.25</v>
      </c>
      <c r="K383" s="272"/>
      <c r="L383" s="531"/>
      <c r="M383" s="152"/>
      <c r="N383" s="164"/>
      <c r="O383" s="86"/>
      <c r="P383" s="23"/>
    </row>
    <row r="384" spans="1:16" ht="13.5" customHeight="1">
      <c r="A384" s="370"/>
      <c r="B384" s="970" t="s">
        <v>830</v>
      </c>
      <c r="C384" s="1093"/>
      <c r="D384" s="1093"/>
      <c r="E384" s="273"/>
      <c r="F384" s="368"/>
      <c r="G384" s="1391">
        <v>1</v>
      </c>
      <c r="H384" s="1392"/>
      <c r="I384" s="1393"/>
      <c r="J384" s="272">
        <v>3341</v>
      </c>
      <c r="K384" s="272"/>
      <c r="L384" s="531"/>
      <c r="M384" s="152"/>
      <c r="N384" s="164"/>
      <c r="O384" s="86"/>
      <c r="P384" s="23"/>
    </row>
    <row r="385" spans="1:16" ht="47.25" customHeight="1">
      <c r="A385" s="370" t="s">
        <v>192</v>
      </c>
      <c r="B385" s="1092" t="s">
        <v>655</v>
      </c>
      <c r="C385" s="1093"/>
      <c r="D385" s="1093"/>
      <c r="E385" s="273"/>
      <c r="F385" s="282" t="s">
        <v>802</v>
      </c>
      <c r="G385" s="1306">
        <v>1</v>
      </c>
      <c r="H385" s="1306"/>
      <c r="I385" s="1306"/>
      <c r="J385" s="234">
        <f>J386+J387+J388+J389</f>
        <v>157647.05</v>
      </c>
      <c r="K385" s="234"/>
      <c r="L385" s="360"/>
      <c r="M385" s="152"/>
      <c r="N385" s="164"/>
      <c r="O385" s="86"/>
      <c r="P385" s="23"/>
    </row>
    <row r="386" spans="1:16" ht="18" customHeight="1">
      <c r="A386" s="502"/>
      <c r="B386" s="970" t="s">
        <v>651</v>
      </c>
      <c r="C386" s="1093"/>
      <c r="D386" s="1093"/>
      <c r="E386" s="273" t="s">
        <v>176</v>
      </c>
      <c r="F386" s="282" t="s">
        <v>713</v>
      </c>
      <c r="G386" s="1391">
        <v>1</v>
      </c>
      <c r="H386" s="1392"/>
      <c r="I386" s="1393"/>
      <c r="J386" s="272">
        <v>4305</v>
      </c>
      <c r="K386" s="272"/>
      <c r="L386" s="360"/>
      <c r="M386" s="152"/>
      <c r="N386" s="164"/>
      <c r="O386" s="86"/>
      <c r="P386" s="23"/>
    </row>
    <row r="387" spans="1:16" ht="19.5" customHeight="1">
      <c r="A387" s="502"/>
      <c r="B387" s="970" t="s">
        <v>829</v>
      </c>
      <c r="C387" s="1093"/>
      <c r="D387" s="1093"/>
      <c r="E387" s="273" t="s">
        <v>461</v>
      </c>
      <c r="F387" s="368"/>
      <c r="G387" s="1391">
        <v>1</v>
      </c>
      <c r="H387" s="1392"/>
      <c r="I387" s="1393"/>
      <c r="J387" s="272">
        <f>149417.36+737.44</f>
        <v>150154.8</v>
      </c>
      <c r="K387" s="272"/>
      <c r="L387" s="360"/>
      <c r="M387" s="152"/>
      <c r="N387" s="164"/>
      <c r="O387" s="86"/>
      <c r="P387" s="23"/>
    </row>
    <row r="388" spans="1:16" ht="19.5" customHeight="1">
      <c r="A388" s="502"/>
      <c r="B388" s="970" t="s">
        <v>9</v>
      </c>
      <c r="C388" s="1093"/>
      <c r="D388" s="1093"/>
      <c r="E388" s="273"/>
      <c r="F388" s="368"/>
      <c r="G388" s="1391">
        <v>1</v>
      </c>
      <c r="H388" s="1392"/>
      <c r="I388" s="1393"/>
      <c r="J388" s="272">
        <v>488.25</v>
      </c>
      <c r="K388" s="272"/>
      <c r="L388" s="360"/>
      <c r="M388" s="152"/>
      <c r="N388" s="164"/>
      <c r="O388" s="86"/>
      <c r="P388" s="23"/>
    </row>
    <row r="389" spans="1:16" ht="19.5" customHeight="1">
      <c r="A389" s="502"/>
      <c r="B389" s="970" t="s">
        <v>830</v>
      </c>
      <c r="C389" s="1093"/>
      <c r="D389" s="1093"/>
      <c r="E389" s="273"/>
      <c r="F389" s="368"/>
      <c r="G389" s="1391">
        <v>1</v>
      </c>
      <c r="H389" s="1392"/>
      <c r="I389" s="1393"/>
      <c r="J389" s="272">
        <v>2699</v>
      </c>
      <c r="K389" s="272"/>
      <c r="L389" s="360"/>
      <c r="M389" s="152"/>
      <c r="N389" s="164"/>
      <c r="O389" s="86"/>
      <c r="P389" s="23"/>
    </row>
    <row r="390" spans="1:16" ht="47.25" customHeight="1">
      <c r="A390" s="502" t="s">
        <v>570</v>
      </c>
      <c r="B390" s="1092" t="s">
        <v>572</v>
      </c>
      <c r="C390" s="1093"/>
      <c r="D390" s="1093"/>
      <c r="E390" s="273"/>
      <c r="F390" s="282" t="s">
        <v>802</v>
      </c>
      <c r="G390" s="1391">
        <v>1</v>
      </c>
      <c r="H390" s="1392"/>
      <c r="I390" s="1393"/>
      <c r="J390" s="272"/>
      <c r="K390" s="272"/>
      <c r="L390" s="360"/>
      <c r="M390" s="152"/>
      <c r="N390" s="164"/>
      <c r="O390" s="86"/>
      <c r="P390" s="23"/>
    </row>
    <row r="391" spans="1:16" ht="15.75" customHeight="1">
      <c r="A391" s="502"/>
      <c r="B391" s="970" t="s">
        <v>651</v>
      </c>
      <c r="C391" s="1093"/>
      <c r="D391" s="1093"/>
      <c r="E391" s="273" t="s">
        <v>176</v>
      </c>
      <c r="F391" s="282" t="s">
        <v>713</v>
      </c>
      <c r="G391" s="1391">
        <v>1</v>
      </c>
      <c r="H391" s="1392"/>
      <c r="I391" s="1393"/>
      <c r="J391" s="272">
        <v>3150</v>
      </c>
      <c r="K391" s="272"/>
      <c r="L391" s="360"/>
      <c r="M391" s="152"/>
      <c r="N391" s="164"/>
      <c r="O391" s="86"/>
      <c r="P391" s="23"/>
    </row>
    <row r="392" spans="1:16" ht="38.25" customHeight="1">
      <c r="A392" s="502" t="s">
        <v>571</v>
      </c>
      <c r="B392" s="1092" t="s">
        <v>573</v>
      </c>
      <c r="C392" s="1093"/>
      <c r="D392" s="1093"/>
      <c r="E392" s="273"/>
      <c r="F392" s="282" t="s">
        <v>802</v>
      </c>
      <c r="G392" s="1391">
        <v>1</v>
      </c>
      <c r="H392" s="1392"/>
      <c r="I392" s="1393"/>
      <c r="J392" s="272"/>
      <c r="K392" s="272"/>
      <c r="L392" s="360"/>
      <c r="M392" s="152"/>
      <c r="N392" s="164"/>
      <c r="O392" s="86"/>
      <c r="P392" s="23"/>
    </row>
    <row r="393" spans="1:16" ht="15.75" customHeight="1">
      <c r="A393" s="502"/>
      <c r="B393" s="970" t="s">
        <v>651</v>
      </c>
      <c r="C393" s="1093"/>
      <c r="D393" s="1093"/>
      <c r="E393" s="273" t="s">
        <v>176</v>
      </c>
      <c r="F393" s="282" t="s">
        <v>713</v>
      </c>
      <c r="G393" s="1391">
        <v>1</v>
      </c>
      <c r="H393" s="1392"/>
      <c r="I393" s="1393"/>
      <c r="J393" s="272">
        <v>3150</v>
      </c>
      <c r="K393" s="272"/>
      <c r="L393" s="360"/>
      <c r="M393" s="152"/>
      <c r="N393" s="164"/>
      <c r="O393" s="86"/>
      <c r="P393" s="23"/>
    </row>
    <row r="394" spans="1:16" ht="26.25" customHeight="1">
      <c r="A394" s="502" t="s">
        <v>574</v>
      </c>
      <c r="B394" s="1092" t="s">
        <v>575</v>
      </c>
      <c r="C394" s="1093"/>
      <c r="D394" s="1093"/>
      <c r="E394" s="273"/>
      <c r="F394" s="282" t="s">
        <v>802</v>
      </c>
      <c r="G394" s="1391">
        <v>1</v>
      </c>
      <c r="H394" s="1392"/>
      <c r="I394" s="1393"/>
      <c r="J394" s="272"/>
      <c r="K394" s="272"/>
      <c r="L394" s="360"/>
      <c r="M394" s="152"/>
      <c r="N394" s="164"/>
      <c r="O394" s="86"/>
      <c r="P394" s="23"/>
    </row>
    <row r="395" spans="1:16" ht="15.75" customHeight="1">
      <c r="A395" s="502"/>
      <c r="B395" s="970" t="s">
        <v>651</v>
      </c>
      <c r="C395" s="1093"/>
      <c r="D395" s="1093"/>
      <c r="E395" s="273" t="s">
        <v>176</v>
      </c>
      <c r="F395" s="282" t="s">
        <v>713</v>
      </c>
      <c r="G395" s="1391">
        <v>1</v>
      </c>
      <c r="H395" s="1392"/>
      <c r="I395" s="1393"/>
      <c r="J395" s="272">
        <v>3150</v>
      </c>
      <c r="K395" s="272"/>
      <c r="L395" s="360"/>
      <c r="M395" s="152"/>
      <c r="N395" s="164"/>
      <c r="O395" s="86"/>
      <c r="P395" s="23"/>
    </row>
    <row r="396" spans="1:16" ht="39.75" customHeight="1">
      <c r="A396" s="502" t="s">
        <v>576</v>
      </c>
      <c r="B396" s="1092" t="s">
        <v>577</v>
      </c>
      <c r="C396" s="1093"/>
      <c r="D396" s="1093"/>
      <c r="E396" s="273"/>
      <c r="F396" s="282" t="s">
        <v>802</v>
      </c>
      <c r="G396" s="1391">
        <v>1</v>
      </c>
      <c r="H396" s="1392"/>
      <c r="I396" s="1393"/>
      <c r="J396" s="272"/>
      <c r="K396" s="272"/>
      <c r="L396" s="360"/>
      <c r="M396" s="152"/>
      <c r="N396" s="164"/>
      <c r="O396" s="86"/>
      <c r="P396" s="23"/>
    </row>
    <row r="397" spans="1:16" ht="17.25" customHeight="1">
      <c r="A397" s="502"/>
      <c r="B397" s="970" t="s">
        <v>651</v>
      </c>
      <c r="C397" s="1093"/>
      <c r="D397" s="1093"/>
      <c r="E397" s="273" t="s">
        <v>176</v>
      </c>
      <c r="F397" s="282" t="s">
        <v>713</v>
      </c>
      <c r="G397" s="1391">
        <v>1</v>
      </c>
      <c r="H397" s="1392"/>
      <c r="I397" s="1393"/>
      <c r="J397" s="272">
        <v>3150</v>
      </c>
      <c r="K397" s="272"/>
      <c r="L397" s="360"/>
      <c r="M397" s="152"/>
      <c r="N397" s="164"/>
      <c r="O397" s="86"/>
      <c r="P397" s="23"/>
    </row>
    <row r="398" spans="1:16" ht="36.75" customHeight="1">
      <c r="A398" s="502" t="s">
        <v>579</v>
      </c>
      <c r="B398" s="1092" t="s">
        <v>578</v>
      </c>
      <c r="C398" s="1093"/>
      <c r="D398" s="1093"/>
      <c r="E398" s="273"/>
      <c r="F398" s="282" t="s">
        <v>802</v>
      </c>
      <c r="G398" s="1391">
        <v>1</v>
      </c>
      <c r="H398" s="1392"/>
      <c r="I398" s="1393"/>
      <c r="J398" s="272"/>
      <c r="K398" s="272"/>
      <c r="L398" s="360"/>
      <c r="M398" s="152"/>
      <c r="N398" s="164"/>
      <c r="O398" s="86"/>
      <c r="P398" s="23"/>
    </row>
    <row r="399" spans="1:16" ht="15.75" customHeight="1">
      <c r="A399" s="502"/>
      <c r="B399" s="970" t="s">
        <v>651</v>
      </c>
      <c r="C399" s="1093"/>
      <c r="D399" s="1093"/>
      <c r="E399" s="273" t="s">
        <v>176</v>
      </c>
      <c r="F399" s="282" t="s">
        <v>713</v>
      </c>
      <c r="G399" s="1391">
        <v>1</v>
      </c>
      <c r="H399" s="1392"/>
      <c r="I399" s="1393"/>
      <c r="J399" s="272">
        <v>3150</v>
      </c>
      <c r="K399" s="272"/>
      <c r="L399" s="360"/>
      <c r="M399" s="152"/>
      <c r="N399" s="164"/>
      <c r="O399" s="86"/>
      <c r="P399" s="23"/>
    </row>
    <row r="400" spans="1:16" ht="16.5" customHeight="1">
      <c r="A400" s="625" t="s">
        <v>193</v>
      </c>
      <c r="B400" s="860" t="s">
        <v>199</v>
      </c>
      <c r="C400" s="1093"/>
      <c r="D400" s="1093"/>
      <c r="E400" s="273"/>
      <c r="F400" s="330" t="s">
        <v>802</v>
      </c>
      <c r="G400" s="1461">
        <v>1</v>
      </c>
      <c r="H400" s="1462"/>
      <c r="I400" s="1463"/>
      <c r="J400" s="234">
        <f>J401</f>
        <v>289665.35</v>
      </c>
      <c r="K400" s="234"/>
      <c r="L400" s="662"/>
      <c r="M400" s="152"/>
      <c r="N400" s="164"/>
      <c r="O400" s="86"/>
      <c r="P400" s="23"/>
    </row>
    <row r="401" spans="1:16" ht="14.25" customHeight="1">
      <c r="A401" s="370" t="s">
        <v>899</v>
      </c>
      <c r="B401" s="970" t="s">
        <v>354</v>
      </c>
      <c r="C401" s="971"/>
      <c r="D401" s="971"/>
      <c r="E401" s="972"/>
      <c r="F401" s="530" t="s">
        <v>802</v>
      </c>
      <c r="G401" s="1455">
        <v>1</v>
      </c>
      <c r="H401" s="1455"/>
      <c r="I401" s="1455"/>
      <c r="J401" s="975">
        <f>J402+J403+J404+J405+J406</f>
        <v>289665.35</v>
      </c>
      <c r="K401" s="975"/>
      <c r="L401" s="877"/>
      <c r="M401" s="152"/>
      <c r="N401" s="164"/>
      <c r="O401" s="86"/>
      <c r="P401" s="23"/>
    </row>
    <row r="402" spans="1:16" ht="46.5" customHeight="1">
      <c r="A402" s="370"/>
      <c r="B402" s="970" t="s">
        <v>412</v>
      </c>
      <c r="C402" s="971"/>
      <c r="D402" s="971"/>
      <c r="E402" s="1015" t="s">
        <v>413</v>
      </c>
      <c r="F402" s="282" t="s">
        <v>802</v>
      </c>
      <c r="G402" s="1456">
        <v>1</v>
      </c>
      <c r="H402" s="1456"/>
      <c r="I402" s="1456"/>
      <c r="J402" s="973">
        <v>6949</v>
      </c>
      <c r="K402" s="973"/>
      <c r="L402" s="877"/>
      <c r="M402" s="152"/>
      <c r="N402" s="164"/>
      <c r="O402" s="86"/>
      <c r="P402" s="23"/>
    </row>
    <row r="403" spans="1:16" ht="18.75" customHeight="1">
      <c r="A403" s="370"/>
      <c r="B403" s="970" t="s">
        <v>356</v>
      </c>
      <c r="C403" s="971"/>
      <c r="D403" s="971"/>
      <c r="E403" s="972" t="s">
        <v>194</v>
      </c>
      <c r="F403" s="282" t="s">
        <v>802</v>
      </c>
      <c r="G403" s="1456">
        <v>1</v>
      </c>
      <c r="H403" s="1456"/>
      <c r="I403" s="1456"/>
      <c r="J403" s="973">
        <v>7970.55</v>
      </c>
      <c r="K403" s="974"/>
      <c r="L403" s="877"/>
      <c r="M403" s="152"/>
      <c r="N403" s="164"/>
      <c r="O403" s="86"/>
      <c r="P403" s="23"/>
    </row>
    <row r="404" spans="1:16" ht="16.5" customHeight="1">
      <c r="A404" s="370"/>
      <c r="B404" s="970" t="s">
        <v>357</v>
      </c>
      <c r="C404" s="971"/>
      <c r="D404" s="971"/>
      <c r="E404" s="972" t="s">
        <v>355</v>
      </c>
      <c r="F404" s="282" t="s">
        <v>802</v>
      </c>
      <c r="G404" s="1456">
        <v>1</v>
      </c>
      <c r="H404" s="1456"/>
      <c r="I404" s="1456"/>
      <c r="J404" s="973">
        <v>19083</v>
      </c>
      <c r="K404" s="973"/>
      <c r="L404" s="877"/>
      <c r="M404" s="152"/>
      <c r="N404" s="164"/>
      <c r="O404" s="86"/>
      <c r="P404" s="23"/>
    </row>
    <row r="405" spans="1:16" ht="16.5" customHeight="1">
      <c r="A405" s="370"/>
      <c r="B405" s="970" t="s">
        <v>829</v>
      </c>
      <c r="C405" s="971"/>
      <c r="D405" s="971"/>
      <c r="E405" s="972" t="s">
        <v>569</v>
      </c>
      <c r="F405" s="282"/>
      <c r="G405" s="1397">
        <v>1</v>
      </c>
      <c r="H405" s="1398"/>
      <c r="I405" s="1399"/>
      <c r="J405" s="975">
        <f>202435.74+48675.06</f>
        <v>251110.8</v>
      </c>
      <c r="K405" s="973"/>
      <c r="L405" s="877"/>
      <c r="M405" s="152"/>
      <c r="N405" s="164"/>
      <c r="O405" s="86"/>
      <c r="P405" s="23"/>
    </row>
    <row r="406" spans="1:16" ht="18" customHeight="1">
      <c r="A406" s="370"/>
      <c r="B406" s="469" t="s">
        <v>830</v>
      </c>
      <c r="C406" s="971"/>
      <c r="D406" s="971"/>
      <c r="E406" s="281" t="s">
        <v>17</v>
      </c>
      <c r="F406" s="282"/>
      <c r="G406" s="1397">
        <v>1</v>
      </c>
      <c r="H406" s="1398"/>
      <c r="I406" s="1399"/>
      <c r="J406" s="975">
        <v>4552</v>
      </c>
      <c r="K406" s="973"/>
      <c r="L406" s="877"/>
      <c r="M406" s="152"/>
      <c r="N406" s="164"/>
      <c r="O406" s="86"/>
      <c r="P406" s="23"/>
    </row>
    <row r="407" spans="1:16" ht="24" customHeight="1">
      <c r="A407" s="331" t="s">
        <v>797</v>
      </c>
      <c r="B407" s="860" t="s">
        <v>358</v>
      </c>
      <c r="C407" s="971"/>
      <c r="D407" s="971"/>
      <c r="E407" s="972"/>
      <c r="F407" s="652" t="s">
        <v>800</v>
      </c>
      <c r="G407" s="976">
        <f>G409+G412</f>
        <v>5236</v>
      </c>
      <c r="H407" s="977"/>
      <c r="I407" s="978">
        <f>I409+I412</f>
        <v>99</v>
      </c>
      <c r="J407" s="979">
        <f>J408+J412</f>
        <v>633307.93</v>
      </c>
      <c r="K407" s="979"/>
      <c r="L407" s="877"/>
      <c r="M407" s="152"/>
      <c r="N407" s="164"/>
      <c r="O407" s="86"/>
      <c r="P407" s="23"/>
    </row>
    <row r="408" spans="1:16" ht="38.25" customHeight="1">
      <c r="A408" s="370" t="s">
        <v>359</v>
      </c>
      <c r="B408" s="997" t="s">
        <v>417</v>
      </c>
      <c r="C408" s="782"/>
      <c r="D408" s="782"/>
      <c r="E408" s="782"/>
      <c r="F408" s="782"/>
      <c r="G408" s="782"/>
      <c r="H408" s="782"/>
      <c r="I408" s="782"/>
      <c r="J408" s="1175">
        <f>J409+J410+J411</f>
        <v>236182.69999999998</v>
      </c>
      <c r="K408" s="1016"/>
      <c r="L408" s="877"/>
      <c r="M408" s="152"/>
      <c r="N408" s="164"/>
      <c r="O408" s="86"/>
      <c r="P408" s="23"/>
    </row>
    <row r="409" spans="1:16" ht="18" customHeight="1">
      <c r="A409" s="1045"/>
      <c r="B409" s="970" t="s">
        <v>829</v>
      </c>
      <c r="C409" s="971"/>
      <c r="D409" s="971"/>
      <c r="E409" s="972" t="s">
        <v>360</v>
      </c>
      <c r="F409" s="282" t="s">
        <v>800</v>
      </c>
      <c r="G409" s="286">
        <v>1913</v>
      </c>
      <c r="H409" s="285"/>
      <c r="I409" s="285">
        <v>41</v>
      </c>
      <c r="J409" s="973">
        <v>230615.52</v>
      </c>
      <c r="K409" s="973"/>
      <c r="L409" s="877"/>
      <c r="M409" s="152"/>
      <c r="N409" s="164"/>
      <c r="O409" s="86"/>
      <c r="P409" s="23"/>
    </row>
    <row r="410" spans="1:16" ht="24" customHeight="1">
      <c r="A410" s="1045"/>
      <c r="B410" s="970" t="s">
        <v>9</v>
      </c>
      <c r="C410" s="971"/>
      <c r="D410" s="971"/>
      <c r="E410" s="1015" t="s">
        <v>414</v>
      </c>
      <c r="F410" s="282" t="s">
        <v>802</v>
      </c>
      <c r="G410" s="1258">
        <v>1</v>
      </c>
      <c r="H410" s="1259"/>
      <c r="I410" s="1248"/>
      <c r="J410" s="973">
        <v>558</v>
      </c>
      <c r="K410" s="973"/>
      <c r="L410" s="877"/>
      <c r="M410" s="152"/>
      <c r="N410" s="164"/>
      <c r="O410" s="86"/>
      <c r="P410" s="23"/>
    </row>
    <row r="411" spans="1:16" ht="18" customHeight="1">
      <c r="A411" s="370"/>
      <c r="B411" s="469" t="s">
        <v>830</v>
      </c>
      <c r="C411" s="971"/>
      <c r="D411" s="971"/>
      <c r="E411" s="281" t="s">
        <v>17</v>
      </c>
      <c r="F411" s="282" t="s">
        <v>802</v>
      </c>
      <c r="G411" s="1397">
        <v>1</v>
      </c>
      <c r="H411" s="1398"/>
      <c r="I411" s="1399"/>
      <c r="J411" s="973">
        <v>5009.18</v>
      </c>
      <c r="K411" s="973"/>
      <c r="L411" s="877"/>
      <c r="M411" s="152"/>
      <c r="N411" s="164"/>
      <c r="O411" s="86"/>
      <c r="P411" s="23"/>
    </row>
    <row r="412" spans="1:16" ht="25.5" customHeight="1">
      <c r="A412" s="370" t="s">
        <v>903</v>
      </c>
      <c r="B412" s="469" t="s">
        <v>510</v>
      </c>
      <c r="C412" s="971"/>
      <c r="D412" s="971"/>
      <c r="E412" s="972"/>
      <c r="F412" s="530" t="s">
        <v>713</v>
      </c>
      <c r="G412" s="1109">
        <v>3323</v>
      </c>
      <c r="H412" s="1079"/>
      <c r="I412" s="1110">
        <v>58</v>
      </c>
      <c r="J412" s="975">
        <f>J413+J414+J415+J416+J417</f>
        <v>397125.23000000004</v>
      </c>
      <c r="K412" s="975"/>
      <c r="L412" s="877"/>
      <c r="M412" s="152"/>
      <c r="N412" s="164"/>
      <c r="O412" s="86"/>
      <c r="P412" s="23"/>
    </row>
    <row r="413" spans="1:16" ht="25.5" customHeight="1">
      <c r="A413" s="504"/>
      <c r="B413" s="470" t="s">
        <v>892</v>
      </c>
      <c r="C413" s="1086"/>
      <c r="D413" s="1086"/>
      <c r="E413" s="1015" t="s">
        <v>414</v>
      </c>
      <c r="F413" s="282" t="s">
        <v>713</v>
      </c>
      <c r="G413" s="1397">
        <v>1</v>
      </c>
      <c r="H413" s="1398"/>
      <c r="I413" s="1399"/>
      <c r="J413" s="1088">
        <v>17047.2</v>
      </c>
      <c r="K413" s="1088"/>
      <c r="L413" s="1087"/>
      <c r="M413" s="152"/>
      <c r="N413" s="164"/>
      <c r="O413" s="86"/>
      <c r="P413" s="23"/>
    </row>
    <row r="414" spans="1:16" ht="18.75" customHeight="1">
      <c r="A414" s="504"/>
      <c r="B414" s="469" t="s">
        <v>829</v>
      </c>
      <c r="C414" s="1086"/>
      <c r="D414" s="1086"/>
      <c r="E414" s="972" t="s">
        <v>360</v>
      </c>
      <c r="F414" s="282" t="s">
        <v>800</v>
      </c>
      <c r="G414" s="1109">
        <v>3323</v>
      </c>
      <c r="H414" s="1079"/>
      <c r="I414" s="1110">
        <v>58</v>
      </c>
      <c r="J414" s="973">
        <v>349420.94</v>
      </c>
      <c r="K414" s="973"/>
      <c r="L414" s="1087"/>
      <c r="M414" s="152"/>
      <c r="N414" s="164"/>
      <c r="O414" s="86"/>
      <c r="P414" s="23"/>
    </row>
    <row r="415" spans="1:16" ht="20.25" customHeight="1" thickBot="1">
      <c r="A415" s="783"/>
      <c r="B415" s="723" t="s">
        <v>411</v>
      </c>
      <c r="C415" s="1033"/>
      <c r="D415" s="1033"/>
      <c r="E415" s="1034" t="s">
        <v>423</v>
      </c>
      <c r="F415" s="547" t="s">
        <v>713</v>
      </c>
      <c r="G415" s="1457">
        <v>1</v>
      </c>
      <c r="H415" s="1458"/>
      <c r="I415" s="1459"/>
      <c r="J415" s="1035">
        <v>22320</v>
      </c>
      <c r="K415" s="1035"/>
      <c r="L415" s="1036"/>
      <c r="M415" s="152"/>
      <c r="N415" s="164"/>
      <c r="O415" s="86"/>
      <c r="P415" s="23"/>
    </row>
    <row r="416" spans="1:16" ht="24.75" customHeight="1" thickBot="1">
      <c r="A416" s="1045"/>
      <c r="B416" s="970" t="s">
        <v>9</v>
      </c>
      <c r="C416" s="1120"/>
      <c r="D416" s="1120"/>
      <c r="E416" s="1015" t="s">
        <v>414</v>
      </c>
      <c r="F416" s="282" t="s">
        <v>802</v>
      </c>
      <c r="G416" s="1452">
        <v>1</v>
      </c>
      <c r="H416" s="1453"/>
      <c r="I416" s="1454"/>
      <c r="J416" s="1121">
        <v>1116</v>
      </c>
      <c r="K416" s="1121"/>
      <c r="L416" s="1122"/>
      <c r="M416" s="152"/>
      <c r="N416" s="164"/>
      <c r="O416" s="86"/>
      <c r="P416" s="23"/>
    </row>
    <row r="417" spans="1:15" ht="16.5" customHeight="1" thickBot="1">
      <c r="A417" s="1045"/>
      <c r="B417" s="469" t="s">
        <v>830</v>
      </c>
      <c r="C417" s="1120"/>
      <c r="D417" s="1120"/>
      <c r="E417" s="281" t="s">
        <v>17</v>
      </c>
      <c r="F417" s="282" t="s">
        <v>802</v>
      </c>
      <c r="G417" s="1452">
        <v>1</v>
      </c>
      <c r="H417" s="1453"/>
      <c r="I417" s="1454"/>
      <c r="J417" s="1121">
        <v>7221.09</v>
      </c>
      <c r="K417" s="1121"/>
      <c r="L417" s="1122"/>
      <c r="M417" s="152"/>
      <c r="N417" s="865"/>
      <c r="O417" s="23"/>
    </row>
    <row r="418" spans="1:13" ht="53.25" customHeight="1" thickBot="1">
      <c r="A418" s="827" t="s">
        <v>30</v>
      </c>
      <c r="B418" s="828" t="s">
        <v>54</v>
      </c>
      <c r="C418" s="810">
        <v>100302</v>
      </c>
      <c r="D418" s="810">
        <v>2240</v>
      </c>
      <c r="E418" s="829"/>
      <c r="F418" s="812"/>
      <c r="G418" s="1471"/>
      <c r="H418" s="1472"/>
      <c r="I418" s="1473"/>
      <c r="J418" s="809">
        <f>J419+J420</f>
        <v>114406.76999999999</v>
      </c>
      <c r="K418" s="809">
        <v>100779.7</v>
      </c>
      <c r="L418" s="1206">
        <f>J418-K418</f>
        <v>13627.069999999992</v>
      </c>
      <c r="M418" s="43">
        <f>J418-K418</f>
        <v>13627.069999999992</v>
      </c>
    </row>
    <row r="419" spans="1:12" ht="20.25" customHeight="1">
      <c r="A419" s="444" t="s">
        <v>801</v>
      </c>
      <c r="B419" s="478" t="s">
        <v>775</v>
      </c>
      <c r="C419" s="259"/>
      <c r="D419" s="260"/>
      <c r="E419" s="346" t="s">
        <v>759</v>
      </c>
      <c r="F419" s="251" t="s">
        <v>760</v>
      </c>
      <c r="G419" s="1334">
        <v>170</v>
      </c>
      <c r="H419" s="1335"/>
      <c r="I419" s="1336"/>
      <c r="J419" s="229">
        <f>70628.87+3131.65+12462.4</f>
        <v>86222.91999999998</v>
      </c>
      <c r="K419" s="229"/>
      <c r="L419" s="230"/>
    </row>
    <row r="420" spans="1:13" ht="25.5" customHeight="1">
      <c r="A420" s="331" t="s">
        <v>794</v>
      </c>
      <c r="B420" s="479" t="s">
        <v>275</v>
      </c>
      <c r="C420" s="437"/>
      <c r="D420" s="438"/>
      <c r="E420" s="474"/>
      <c r="F420" s="511" t="s">
        <v>713</v>
      </c>
      <c r="G420" s="1305">
        <f>G421+G422</f>
        <v>30</v>
      </c>
      <c r="H420" s="1306"/>
      <c r="I420" s="1306"/>
      <c r="J420" s="383">
        <f>J421+J422</f>
        <v>28183.85</v>
      </c>
      <c r="K420" s="383"/>
      <c r="L420" s="441"/>
      <c r="M420" s="865"/>
    </row>
    <row r="421" spans="1:13" ht="18.75" customHeight="1">
      <c r="A421" s="436"/>
      <c r="B421" s="509"/>
      <c r="C421" s="255"/>
      <c r="D421" s="440"/>
      <c r="E421" s="281" t="s">
        <v>739</v>
      </c>
      <c r="F421" s="281" t="s">
        <v>713</v>
      </c>
      <c r="G421" s="1307">
        <v>20</v>
      </c>
      <c r="H421" s="1307"/>
      <c r="I421" s="1307"/>
      <c r="J421" s="272">
        <v>12566.94</v>
      </c>
      <c r="K421" s="272"/>
      <c r="L421" s="360"/>
      <c r="M421" s="68"/>
    </row>
    <row r="422" spans="1:13" ht="20.25" customHeight="1" thickBot="1">
      <c r="A422" s="835"/>
      <c r="B422" s="480"/>
      <c r="C422" s="480"/>
      <c r="D422" s="480"/>
      <c r="E422" s="445" t="s">
        <v>946</v>
      </c>
      <c r="F422" s="445" t="s">
        <v>713</v>
      </c>
      <c r="G422" s="1308">
        <f>8+2</f>
        <v>10</v>
      </c>
      <c r="H422" s="1308"/>
      <c r="I422" s="1308"/>
      <c r="J422" s="289">
        <f>14875.3+741.61</f>
        <v>15616.91</v>
      </c>
      <c r="K422" s="289"/>
      <c r="L422" s="481"/>
      <c r="M422" s="852"/>
    </row>
    <row r="423" spans="1:14" ht="40.5" customHeight="1" thickBot="1">
      <c r="A423" s="830" t="s">
        <v>119</v>
      </c>
      <c r="B423" s="831" t="s">
        <v>876</v>
      </c>
      <c r="C423" s="832"/>
      <c r="D423" s="810"/>
      <c r="E423" s="1022"/>
      <c r="F423" s="800" t="s">
        <v>408</v>
      </c>
      <c r="G423" s="1037">
        <f>G424+G471</f>
        <v>54410</v>
      </c>
      <c r="H423" s="1012"/>
      <c r="I423" s="1013">
        <v>25</v>
      </c>
      <c r="J423" s="803">
        <f>J424+J471</f>
        <v>24857282.71</v>
      </c>
      <c r="K423" s="803"/>
      <c r="L423" s="833"/>
      <c r="M423" s="68"/>
      <c r="N423" s="86"/>
    </row>
    <row r="424" spans="1:13" ht="20.25" customHeight="1">
      <c r="A424" s="625" t="s">
        <v>801</v>
      </c>
      <c r="B424" s="784" t="s">
        <v>198</v>
      </c>
      <c r="C424" s="257">
        <v>170703</v>
      </c>
      <c r="D424" s="258">
        <v>2240</v>
      </c>
      <c r="E424" s="325"/>
      <c r="F424" s="324" t="s">
        <v>408</v>
      </c>
      <c r="G424" s="1023">
        <f>G425+G428+G431+G434+G437+G440+G450+G453+G456+G459+G462+G465+G468</f>
        <v>4364</v>
      </c>
      <c r="H424" s="1021"/>
      <c r="I424" s="375">
        <v>25</v>
      </c>
      <c r="J424" s="235">
        <f>J425+J428+J431+J434+J437+J440+J447+J450+J453+J456+J459+J462+J465+J468</f>
        <v>1561387.0499999998</v>
      </c>
      <c r="K424" s="235">
        <v>1561387.05</v>
      </c>
      <c r="L424" s="332"/>
      <c r="M424" s="32"/>
    </row>
    <row r="425" spans="1:13" ht="21.75" customHeight="1">
      <c r="A425" s="370" t="s">
        <v>878</v>
      </c>
      <c r="B425" s="473" t="s">
        <v>836</v>
      </c>
      <c r="C425" s="281"/>
      <c r="D425" s="340"/>
      <c r="E425" s="281"/>
      <c r="F425" s="341" t="s">
        <v>711</v>
      </c>
      <c r="G425" s="1224">
        <v>475</v>
      </c>
      <c r="H425" s="1225"/>
      <c r="I425" s="1226"/>
      <c r="J425" s="360">
        <f>J426+J427</f>
        <v>187593.8</v>
      </c>
      <c r="K425" s="360"/>
      <c r="L425" s="272"/>
      <c r="M425" s="68"/>
    </row>
    <row r="426" spans="1:13" ht="18.75" customHeight="1">
      <c r="A426" s="370"/>
      <c r="B426" s="469" t="s">
        <v>829</v>
      </c>
      <c r="C426" s="281"/>
      <c r="D426" s="340"/>
      <c r="E426" s="281" t="s">
        <v>838</v>
      </c>
      <c r="F426" s="352" t="s">
        <v>711</v>
      </c>
      <c r="G426" s="1258">
        <f>G425</f>
        <v>475</v>
      </c>
      <c r="H426" s="1259"/>
      <c r="I426" s="1248"/>
      <c r="J426" s="272">
        <v>184750.8</v>
      </c>
      <c r="K426" s="272"/>
      <c r="L426" s="272"/>
      <c r="M426" s="68"/>
    </row>
    <row r="427" spans="1:13" ht="18.75" customHeight="1">
      <c r="A427" s="502"/>
      <c r="B427" s="469" t="s">
        <v>830</v>
      </c>
      <c r="C427" s="281"/>
      <c r="D427" s="340"/>
      <c r="E427" s="281" t="s">
        <v>799</v>
      </c>
      <c r="F427" s="282" t="s">
        <v>802</v>
      </c>
      <c r="G427" s="1258">
        <v>1</v>
      </c>
      <c r="H427" s="1259"/>
      <c r="I427" s="1248"/>
      <c r="J427" s="272">
        <v>2843</v>
      </c>
      <c r="K427" s="272"/>
      <c r="L427" s="272"/>
      <c r="M427" s="68"/>
    </row>
    <row r="428" spans="1:13" ht="18" customHeight="1">
      <c r="A428" s="370" t="s">
        <v>879</v>
      </c>
      <c r="B428" s="473" t="s">
        <v>837</v>
      </c>
      <c r="C428" s="281"/>
      <c r="D428" s="340"/>
      <c r="E428" s="325"/>
      <c r="F428" s="341" t="s">
        <v>711</v>
      </c>
      <c r="G428" s="1224">
        <f>G429</f>
        <v>430</v>
      </c>
      <c r="H428" s="1225"/>
      <c r="I428" s="1226"/>
      <c r="J428" s="360">
        <f>J429+J430</f>
        <v>193630.6</v>
      </c>
      <c r="K428" s="360"/>
      <c r="L428" s="272"/>
      <c r="M428" s="68"/>
    </row>
    <row r="429" spans="1:13" ht="16.5" customHeight="1">
      <c r="A429" s="370"/>
      <c r="B429" s="469" t="s">
        <v>829</v>
      </c>
      <c r="C429" s="281"/>
      <c r="D429" s="340"/>
      <c r="E429" s="281" t="s">
        <v>838</v>
      </c>
      <c r="F429" s="352" t="s">
        <v>711</v>
      </c>
      <c r="G429" s="1258">
        <v>430</v>
      </c>
      <c r="H429" s="1259"/>
      <c r="I429" s="1248"/>
      <c r="J429" s="272">
        <v>190665.6</v>
      </c>
      <c r="K429" s="272"/>
      <c r="L429" s="272"/>
      <c r="M429" s="68"/>
    </row>
    <row r="430" spans="1:13" ht="20.25" customHeight="1">
      <c r="A430" s="502"/>
      <c r="B430" s="859" t="s">
        <v>830</v>
      </c>
      <c r="C430" s="649"/>
      <c r="D430" s="836"/>
      <c r="E430" s="325" t="s">
        <v>799</v>
      </c>
      <c r="F430" s="318" t="s">
        <v>802</v>
      </c>
      <c r="G430" s="1283">
        <v>1</v>
      </c>
      <c r="H430" s="1284"/>
      <c r="I430" s="1285"/>
      <c r="J430" s="332">
        <v>2965</v>
      </c>
      <c r="K430" s="332"/>
      <c r="L430" s="332"/>
      <c r="M430" s="68"/>
    </row>
    <row r="431" spans="1:13" ht="21" customHeight="1">
      <c r="A431" s="502" t="s">
        <v>880</v>
      </c>
      <c r="B431" s="473" t="s">
        <v>874</v>
      </c>
      <c r="C431" s="279"/>
      <c r="D431" s="280"/>
      <c r="E431" s="322"/>
      <c r="F431" s="352" t="s">
        <v>711</v>
      </c>
      <c r="G431" s="1224">
        <v>440</v>
      </c>
      <c r="H431" s="1225"/>
      <c r="I431" s="1226"/>
      <c r="J431" s="360">
        <f>J432+J433</f>
        <v>174632.8</v>
      </c>
      <c r="K431" s="360"/>
      <c r="L431" s="323"/>
      <c r="M431" s="68"/>
    </row>
    <row r="432" spans="1:13" ht="21" customHeight="1">
      <c r="A432" s="319"/>
      <c r="B432" s="469" t="s">
        <v>829</v>
      </c>
      <c r="C432" s="281"/>
      <c r="D432" s="340"/>
      <c r="E432" s="281" t="s">
        <v>838</v>
      </c>
      <c r="F432" s="290" t="s">
        <v>711</v>
      </c>
      <c r="G432" s="1258">
        <v>440</v>
      </c>
      <c r="H432" s="1259"/>
      <c r="I432" s="1248"/>
      <c r="J432" s="272">
        <v>171988.8</v>
      </c>
      <c r="K432" s="272"/>
      <c r="L432" s="323"/>
      <c r="M432" s="68"/>
    </row>
    <row r="433" spans="1:13" ht="18.75" customHeight="1">
      <c r="A433" s="502"/>
      <c r="B433" s="469" t="s">
        <v>830</v>
      </c>
      <c r="C433" s="279"/>
      <c r="D433" s="280"/>
      <c r="E433" s="281" t="s">
        <v>799</v>
      </c>
      <c r="F433" s="282" t="s">
        <v>802</v>
      </c>
      <c r="G433" s="1258">
        <v>1</v>
      </c>
      <c r="H433" s="1259"/>
      <c r="I433" s="1248"/>
      <c r="J433" s="272">
        <v>2644</v>
      </c>
      <c r="K433" s="272"/>
      <c r="L433" s="323"/>
      <c r="M433" s="68"/>
    </row>
    <row r="434" spans="1:13" ht="21" customHeight="1">
      <c r="A434" s="502" t="s">
        <v>881</v>
      </c>
      <c r="B434" s="473" t="s">
        <v>875</v>
      </c>
      <c r="C434" s="279"/>
      <c r="D434" s="280"/>
      <c r="E434" s="281"/>
      <c r="F434" s="352" t="s">
        <v>711</v>
      </c>
      <c r="G434" s="1224">
        <v>380</v>
      </c>
      <c r="H434" s="1225"/>
      <c r="I434" s="1226"/>
      <c r="J434" s="360">
        <f>J435+J436</f>
        <v>154686</v>
      </c>
      <c r="K434" s="360"/>
      <c r="L434" s="272"/>
      <c r="M434" s="68"/>
    </row>
    <row r="435" spans="1:13" ht="18" customHeight="1">
      <c r="A435" s="370"/>
      <c r="B435" s="469" t="s">
        <v>829</v>
      </c>
      <c r="C435" s="281"/>
      <c r="D435" s="340"/>
      <c r="E435" s="281" t="s">
        <v>838</v>
      </c>
      <c r="F435" s="352" t="s">
        <v>711</v>
      </c>
      <c r="G435" s="1258">
        <v>380</v>
      </c>
      <c r="H435" s="1259"/>
      <c r="I435" s="1248"/>
      <c r="J435" s="272">
        <v>152346</v>
      </c>
      <c r="K435" s="272"/>
      <c r="L435" s="272"/>
      <c r="M435" s="68"/>
    </row>
    <row r="436" spans="1:13" ht="17.25" customHeight="1">
      <c r="A436" s="370"/>
      <c r="B436" s="859" t="s">
        <v>830</v>
      </c>
      <c r="C436" s="649"/>
      <c r="D436" s="836"/>
      <c r="E436" s="325" t="s">
        <v>799</v>
      </c>
      <c r="F436" s="318" t="s">
        <v>802</v>
      </c>
      <c r="G436" s="1283">
        <v>1</v>
      </c>
      <c r="H436" s="1284"/>
      <c r="I436" s="1285"/>
      <c r="J436" s="332">
        <v>2340</v>
      </c>
      <c r="K436" s="332"/>
      <c r="L436" s="332"/>
      <c r="M436" s="68"/>
    </row>
    <row r="437" spans="1:13" ht="20.25" customHeight="1">
      <c r="A437" s="502" t="s">
        <v>938</v>
      </c>
      <c r="B437" s="473" t="s">
        <v>941</v>
      </c>
      <c r="C437" s="279"/>
      <c r="D437" s="280"/>
      <c r="E437" s="281"/>
      <c r="F437" s="496" t="s">
        <v>711</v>
      </c>
      <c r="G437" s="1224">
        <v>150</v>
      </c>
      <c r="H437" s="1225"/>
      <c r="I437" s="1226"/>
      <c r="J437" s="360">
        <f>J438+J439</f>
        <v>22234</v>
      </c>
      <c r="K437" s="360"/>
      <c r="L437" s="323"/>
      <c r="M437" s="68"/>
    </row>
    <row r="438" spans="1:13" ht="20.25" customHeight="1">
      <c r="A438" s="337"/>
      <c r="B438" s="469" t="s">
        <v>829</v>
      </c>
      <c r="C438" s="281"/>
      <c r="D438" s="340"/>
      <c r="E438" s="281" t="s">
        <v>838</v>
      </c>
      <c r="F438" s="352" t="s">
        <v>711</v>
      </c>
      <c r="G438" s="1258">
        <v>150</v>
      </c>
      <c r="H438" s="1259"/>
      <c r="I438" s="1248"/>
      <c r="J438" s="272">
        <v>21894</v>
      </c>
      <c r="K438" s="272"/>
      <c r="L438" s="323"/>
      <c r="M438" s="68"/>
    </row>
    <row r="439" spans="1:13" ht="20.25" customHeight="1">
      <c r="A439" s="334"/>
      <c r="B439" s="469" t="s">
        <v>830</v>
      </c>
      <c r="C439" s="366"/>
      <c r="D439" s="367"/>
      <c r="E439" s="322" t="s">
        <v>799</v>
      </c>
      <c r="F439" s="368" t="s">
        <v>802</v>
      </c>
      <c r="G439" s="1289">
        <v>1</v>
      </c>
      <c r="H439" s="1290"/>
      <c r="I439" s="1291"/>
      <c r="J439" s="323">
        <v>340</v>
      </c>
      <c r="K439" s="323"/>
      <c r="L439" s="323"/>
      <c r="M439" s="68"/>
    </row>
    <row r="440" spans="1:13" ht="20.25" customHeight="1">
      <c r="A440" s="502" t="s">
        <v>940</v>
      </c>
      <c r="B440" s="473" t="s">
        <v>939</v>
      </c>
      <c r="C440" s="279"/>
      <c r="D440" s="280"/>
      <c r="E440" s="281"/>
      <c r="F440" s="496" t="s">
        <v>711</v>
      </c>
      <c r="G440" s="1224">
        <v>91</v>
      </c>
      <c r="H440" s="1225"/>
      <c r="I440" s="1226"/>
      <c r="J440" s="360">
        <f>J441+J442</f>
        <v>35939.2</v>
      </c>
      <c r="K440" s="360"/>
      <c r="L440" s="323"/>
      <c r="M440" s="68"/>
    </row>
    <row r="441" spans="1:13" ht="20.25" customHeight="1">
      <c r="A441" s="370"/>
      <c r="B441" s="469" t="s">
        <v>829</v>
      </c>
      <c r="C441" s="281"/>
      <c r="D441" s="340"/>
      <c r="E441" s="281" t="s">
        <v>838</v>
      </c>
      <c r="F441" s="352" t="s">
        <v>711</v>
      </c>
      <c r="G441" s="1258">
        <v>91</v>
      </c>
      <c r="H441" s="1259"/>
      <c r="I441" s="1248"/>
      <c r="J441" s="272">
        <v>35389.2</v>
      </c>
      <c r="K441" s="272"/>
      <c r="L441" s="323"/>
      <c r="M441" s="68"/>
    </row>
    <row r="442" spans="1:13" ht="20.25" customHeight="1">
      <c r="A442" s="502"/>
      <c r="B442" s="469" t="s">
        <v>830</v>
      </c>
      <c r="C442" s="366"/>
      <c r="D442" s="367"/>
      <c r="E442" s="322" t="s">
        <v>799</v>
      </c>
      <c r="F442" s="368" t="s">
        <v>802</v>
      </c>
      <c r="G442" s="1289">
        <v>1</v>
      </c>
      <c r="H442" s="1290"/>
      <c r="I442" s="1291"/>
      <c r="J442" s="323">
        <v>550</v>
      </c>
      <c r="K442" s="323"/>
      <c r="L442" s="323"/>
      <c r="M442" s="68"/>
    </row>
    <row r="443" spans="1:13" ht="20.25" customHeight="1" hidden="1">
      <c r="A443" s="319"/>
      <c r="B443" s="80"/>
      <c r="C443" s="366"/>
      <c r="D443" s="367"/>
      <c r="E443" s="322"/>
      <c r="F443" s="368"/>
      <c r="G443" s="390"/>
      <c r="H443" s="391"/>
      <c r="I443" s="392"/>
      <c r="J443" s="323"/>
      <c r="K443" s="323"/>
      <c r="L443" s="323"/>
      <c r="M443" s="68"/>
    </row>
    <row r="444" spans="1:13" ht="20.25" customHeight="1" hidden="1">
      <c r="A444" s="319"/>
      <c r="B444" s="470"/>
      <c r="C444" s="366"/>
      <c r="D444" s="367"/>
      <c r="E444" s="322"/>
      <c r="F444" s="368"/>
      <c r="G444" s="390"/>
      <c r="H444" s="391"/>
      <c r="I444" s="392"/>
      <c r="J444" s="323"/>
      <c r="K444" s="323"/>
      <c r="L444" s="323"/>
      <c r="M444" s="68"/>
    </row>
    <row r="445" spans="1:13" ht="20.25" customHeight="1" hidden="1">
      <c r="A445" s="319"/>
      <c r="B445" s="470"/>
      <c r="C445" s="366"/>
      <c r="D445" s="367"/>
      <c r="E445" s="322"/>
      <c r="F445" s="368"/>
      <c r="G445" s="390"/>
      <c r="H445" s="391"/>
      <c r="I445" s="392"/>
      <c r="J445" s="323"/>
      <c r="K445" s="323"/>
      <c r="L445" s="323"/>
      <c r="M445" s="68"/>
    </row>
    <row r="446" spans="1:13" ht="20.25" customHeight="1" hidden="1">
      <c r="A446" s="319"/>
      <c r="B446" s="470"/>
      <c r="C446" s="366"/>
      <c r="D446" s="367"/>
      <c r="E446" s="322"/>
      <c r="F446" s="368"/>
      <c r="G446" s="390"/>
      <c r="H446" s="391"/>
      <c r="I446" s="392"/>
      <c r="J446" s="323"/>
      <c r="K446" s="323"/>
      <c r="L446" s="323"/>
      <c r="M446" s="68"/>
    </row>
    <row r="447" spans="1:13" ht="20.25" customHeight="1">
      <c r="A447" s="319" t="s">
        <v>404</v>
      </c>
      <c r="B447" s="470" t="s">
        <v>405</v>
      </c>
      <c r="C447" s="366"/>
      <c r="D447" s="367"/>
      <c r="E447" s="322"/>
      <c r="F447" s="496" t="s">
        <v>157</v>
      </c>
      <c r="G447" s="1224">
        <v>25</v>
      </c>
      <c r="H447" s="1225"/>
      <c r="I447" s="1226"/>
      <c r="J447" s="531">
        <f>J448+J449</f>
        <v>7364</v>
      </c>
      <c r="K447" s="531"/>
      <c r="L447" s="323"/>
      <c r="M447" s="68"/>
    </row>
    <row r="448" spans="1:13" ht="20.25" customHeight="1">
      <c r="A448" s="370"/>
      <c r="B448" s="469" t="s">
        <v>829</v>
      </c>
      <c r="C448" s="281"/>
      <c r="D448" s="340"/>
      <c r="E448" s="281" t="s">
        <v>838</v>
      </c>
      <c r="F448" s="352" t="s">
        <v>157</v>
      </c>
      <c r="G448" s="1258">
        <v>25</v>
      </c>
      <c r="H448" s="1259"/>
      <c r="I448" s="1248"/>
      <c r="J448" s="272">
        <v>7242</v>
      </c>
      <c r="K448" s="272"/>
      <c r="L448" s="323"/>
      <c r="M448" s="68"/>
    </row>
    <row r="449" spans="1:13" ht="20.25" customHeight="1">
      <c r="A449" s="319"/>
      <c r="B449" s="469" t="s">
        <v>830</v>
      </c>
      <c r="C449" s="366"/>
      <c r="D449" s="367"/>
      <c r="E449" s="281" t="s">
        <v>17</v>
      </c>
      <c r="F449" s="368" t="s">
        <v>802</v>
      </c>
      <c r="G449" s="1289">
        <v>1</v>
      </c>
      <c r="H449" s="1290"/>
      <c r="I449" s="1291"/>
      <c r="J449" s="323">
        <v>122</v>
      </c>
      <c r="K449" s="323"/>
      <c r="L449" s="323"/>
      <c r="M449" s="68"/>
    </row>
    <row r="450" spans="1:13" ht="20.25" customHeight="1">
      <c r="A450" s="319" t="s">
        <v>406</v>
      </c>
      <c r="B450" s="470" t="s">
        <v>407</v>
      </c>
      <c r="C450" s="366"/>
      <c r="D450" s="367"/>
      <c r="E450" s="322"/>
      <c r="F450" s="496" t="s">
        <v>711</v>
      </c>
      <c r="G450" s="1224">
        <v>301</v>
      </c>
      <c r="H450" s="1225"/>
      <c r="I450" s="1226"/>
      <c r="J450" s="531">
        <f>J451+J452</f>
        <v>132485.6</v>
      </c>
      <c r="K450" s="531"/>
      <c r="L450" s="323"/>
      <c r="M450" s="68"/>
    </row>
    <row r="451" spans="1:13" ht="20.25" customHeight="1">
      <c r="A451" s="370"/>
      <c r="B451" s="469" t="s">
        <v>829</v>
      </c>
      <c r="C451" s="281"/>
      <c r="D451" s="340"/>
      <c r="E451" s="281" t="s">
        <v>838</v>
      </c>
      <c r="F451" s="352" t="s">
        <v>711</v>
      </c>
      <c r="G451" s="1258">
        <v>301</v>
      </c>
      <c r="H451" s="1259"/>
      <c r="I451" s="1248"/>
      <c r="J451" s="272">
        <v>130239.6</v>
      </c>
      <c r="K451" s="272"/>
      <c r="L451" s="323"/>
      <c r="M451" s="68"/>
    </row>
    <row r="452" spans="1:13" ht="20.25" customHeight="1">
      <c r="A452" s="319"/>
      <c r="B452" s="469" t="s">
        <v>830</v>
      </c>
      <c r="C452" s="366"/>
      <c r="D452" s="367"/>
      <c r="E452" s="281" t="s">
        <v>17</v>
      </c>
      <c r="F452" s="368" t="s">
        <v>802</v>
      </c>
      <c r="G452" s="1289">
        <v>1</v>
      </c>
      <c r="H452" s="1290"/>
      <c r="I452" s="1291"/>
      <c r="J452" s="323">
        <v>2246</v>
      </c>
      <c r="K452" s="323"/>
      <c r="L452" s="323"/>
      <c r="M452" s="68"/>
    </row>
    <row r="453" spans="1:13" ht="20.25" customHeight="1">
      <c r="A453" s="370" t="s">
        <v>580</v>
      </c>
      <c r="B453" s="1123" t="s">
        <v>581</v>
      </c>
      <c r="C453" s="366"/>
      <c r="D453" s="367"/>
      <c r="E453" s="281"/>
      <c r="F453" s="496" t="s">
        <v>711</v>
      </c>
      <c r="G453" s="1224">
        <v>660</v>
      </c>
      <c r="H453" s="1225"/>
      <c r="I453" s="1226"/>
      <c r="J453" s="531">
        <f>J454+J455</f>
        <v>199892.84</v>
      </c>
      <c r="K453" s="323"/>
      <c r="L453" s="323"/>
      <c r="M453" s="68"/>
    </row>
    <row r="454" spans="1:13" ht="20.25" customHeight="1">
      <c r="A454" s="370"/>
      <c r="B454" s="469" t="s">
        <v>829</v>
      </c>
      <c r="C454" s="366"/>
      <c r="D454" s="367"/>
      <c r="E454" s="281" t="s">
        <v>582</v>
      </c>
      <c r="F454" s="352" t="s">
        <v>711</v>
      </c>
      <c r="G454" s="1258">
        <v>660</v>
      </c>
      <c r="H454" s="1259"/>
      <c r="I454" s="1248"/>
      <c r="J454" s="323">
        <v>196062.09</v>
      </c>
      <c r="K454" s="323"/>
      <c r="L454" s="323"/>
      <c r="M454" s="68"/>
    </row>
    <row r="455" spans="1:13" ht="20.25" customHeight="1">
      <c r="A455" s="319"/>
      <c r="B455" s="469" t="s">
        <v>830</v>
      </c>
      <c r="C455" s="366"/>
      <c r="D455" s="367"/>
      <c r="E455" s="281" t="s">
        <v>17</v>
      </c>
      <c r="F455" s="368" t="s">
        <v>802</v>
      </c>
      <c r="G455" s="1258">
        <v>1</v>
      </c>
      <c r="H455" s="1259"/>
      <c r="I455" s="1248"/>
      <c r="J455" s="323">
        <v>3830.75</v>
      </c>
      <c r="K455" s="323"/>
      <c r="L455" s="323"/>
      <c r="M455" s="68"/>
    </row>
    <row r="456" spans="1:13" ht="20.25" customHeight="1">
      <c r="A456" s="370" t="s">
        <v>583</v>
      </c>
      <c r="B456" s="1123" t="s">
        <v>584</v>
      </c>
      <c r="C456" s="366"/>
      <c r="D456" s="367"/>
      <c r="E456" s="281"/>
      <c r="F456" s="368"/>
      <c r="G456" s="1224">
        <v>420</v>
      </c>
      <c r="H456" s="1225"/>
      <c r="I456" s="1226"/>
      <c r="J456" s="531">
        <f>J457+J458</f>
        <v>142011.66</v>
      </c>
      <c r="K456" s="323"/>
      <c r="L456" s="323"/>
      <c r="M456" s="68"/>
    </row>
    <row r="457" spans="1:13" ht="20.25" customHeight="1">
      <c r="A457" s="319"/>
      <c r="B457" s="469" t="s">
        <v>829</v>
      </c>
      <c r="C457" s="366"/>
      <c r="D457" s="367"/>
      <c r="E457" s="281" t="s">
        <v>582</v>
      </c>
      <c r="F457" s="352" t="s">
        <v>711</v>
      </c>
      <c r="G457" s="1258">
        <v>420</v>
      </c>
      <c r="H457" s="1259"/>
      <c r="I457" s="1248"/>
      <c r="J457" s="323">
        <v>139580.66</v>
      </c>
      <c r="K457" s="323"/>
      <c r="L457" s="323"/>
      <c r="M457" s="68"/>
    </row>
    <row r="458" spans="1:13" ht="20.25" customHeight="1">
      <c r="A458" s="370"/>
      <c r="B458" s="469" t="s">
        <v>830</v>
      </c>
      <c r="C458" s="366"/>
      <c r="D458" s="367"/>
      <c r="E458" s="281" t="s">
        <v>17</v>
      </c>
      <c r="F458" s="368" t="s">
        <v>802</v>
      </c>
      <c r="G458" s="1258">
        <v>1</v>
      </c>
      <c r="H458" s="1259"/>
      <c r="I458" s="1248"/>
      <c r="J458" s="323">
        <v>2431</v>
      </c>
      <c r="K458" s="323"/>
      <c r="L458" s="323"/>
      <c r="M458" s="68"/>
    </row>
    <row r="459" spans="1:13" ht="20.25" customHeight="1">
      <c r="A459" s="319" t="s">
        <v>585</v>
      </c>
      <c r="B459" s="1123" t="s">
        <v>586</v>
      </c>
      <c r="C459" s="366"/>
      <c r="D459" s="367"/>
      <c r="E459" s="281"/>
      <c r="F459" s="368"/>
      <c r="G459" s="1224">
        <v>135</v>
      </c>
      <c r="H459" s="1225"/>
      <c r="I459" s="1226"/>
      <c r="J459" s="531">
        <f>J460+J461</f>
        <v>42596.37</v>
      </c>
      <c r="K459" s="323"/>
      <c r="L459" s="323"/>
      <c r="M459" s="68"/>
    </row>
    <row r="460" spans="1:13" ht="20.25" customHeight="1">
      <c r="A460" s="370"/>
      <c r="B460" s="469" t="s">
        <v>829</v>
      </c>
      <c r="C460" s="366"/>
      <c r="D460" s="367"/>
      <c r="E460" s="281" t="s">
        <v>582</v>
      </c>
      <c r="F460" s="352" t="s">
        <v>711</v>
      </c>
      <c r="G460" s="1258">
        <v>135</v>
      </c>
      <c r="H460" s="1259"/>
      <c r="I460" s="1248"/>
      <c r="J460" s="323">
        <v>41879.37</v>
      </c>
      <c r="K460" s="323"/>
      <c r="L460" s="323"/>
      <c r="M460" s="68"/>
    </row>
    <row r="461" spans="1:13" ht="20.25" customHeight="1">
      <c r="A461" s="502"/>
      <c r="B461" s="469" t="s">
        <v>830</v>
      </c>
      <c r="C461" s="366"/>
      <c r="D461" s="367"/>
      <c r="E461" s="281" t="s">
        <v>17</v>
      </c>
      <c r="F461" s="368" t="s">
        <v>802</v>
      </c>
      <c r="G461" s="1258">
        <v>1</v>
      </c>
      <c r="H461" s="1259"/>
      <c r="I461" s="1248"/>
      <c r="J461" s="323">
        <v>717</v>
      </c>
      <c r="K461" s="323"/>
      <c r="L461" s="323"/>
      <c r="M461" s="68"/>
    </row>
    <row r="462" spans="1:13" ht="20.25" customHeight="1">
      <c r="A462" s="370" t="s">
        <v>587</v>
      </c>
      <c r="B462" s="1123" t="s">
        <v>588</v>
      </c>
      <c r="C462" s="366"/>
      <c r="D462" s="367"/>
      <c r="E462" s="281"/>
      <c r="F462" s="368"/>
      <c r="G462" s="1224">
        <v>578</v>
      </c>
      <c r="H462" s="1225"/>
      <c r="I462" s="1226"/>
      <c r="J462" s="531">
        <f>J463+J464</f>
        <v>199595.73</v>
      </c>
      <c r="K462" s="323"/>
      <c r="L462" s="323"/>
      <c r="M462" s="68"/>
    </row>
    <row r="463" spans="1:13" ht="20.25" customHeight="1">
      <c r="A463" s="502"/>
      <c r="B463" s="469" t="s">
        <v>829</v>
      </c>
      <c r="C463" s="366"/>
      <c r="D463" s="367"/>
      <c r="E463" s="281" t="s">
        <v>582</v>
      </c>
      <c r="F463" s="352" t="s">
        <v>711</v>
      </c>
      <c r="G463" s="1258">
        <v>578</v>
      </c>
      <c r="H463" s="1259"/>
      <c r="I463" s="1248"/>
      <c r="J463" s="323">
        <v>195708.06</v>
      </c>
      <c r="K463" s="323"/>
      <c r="L463" s="323"/>
      <c r="M463" s="68"/>
    </row>
    <row r="464" spans="1:47" ht="20.25" customHeight="1">
      <c r="A464" s="502"/>
      <c r="B464" s="469" t="s">
        <v>830</v>
      </c>
      <c r="C464" s="366"/>
      <c r="D464" s="367"/>
      <c r="E464" s="281" t="s">
        <v>17</v>
      </c>
      <c r="F464" s="368" t="s">
        <v>802</v>
      </c>
      <c r="G464" s="1258">
        <v>1</v>
      </c>
      <c r="H464" s="1259"/>
      <c r="I464" s="1248"/>
      <c r="J464" s="323">
        <v>3887.67</v>
      </c>
      <c r="K464" s="323"/>
      <c r="L464" s="323"/>
      <c r="M464" s="68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</row>
    <row r="465" spans="1:47" s="189" customFormat="1" ht="20.25" customHeight="1">
      <c r="A465" s="1165" t="s">
        <v>626</v>
      </c>
      <c r="B465" s="1123" t="s">
        <v>641</v>
      </c>
      <c r="C465" s="366"/>
      <c r="D465" s="367"/>
      <c r="E465" s="279"/>
      <c r="F465" s="1151"/>
      <c r="G465" s="1224">
        <f>G466</f>
        <v>164</v>
      </c>
      <c r="H465" s="1225"/>
      <c r="I465" s="1226"/>
      <c r="J465" s="531">
        <f>J466+J467</f>
        <v>18059.399999999998</v>
      </c>
      <c r="K465" s="531"/>
      <c r="L465" s="531"/>
      <c r="M465" s="1153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</row>
    <row r="466" spans="1:13" ht="20.25" customHeight="1">
      <c r="A466" s="502"/>
      <c r="B466" s="469" t="s">
        <v>829</v>
      </c>
      <c r="C466" s="366"/>
      <c r="D466" s="367"/>
      <c r="E466" s="281" t="s">
        <v>838</v>
      </c>
      <c r="F466" s="352" t="s">
        <v>711</v>
      </c>
      <c r="G466" s="1258">
        <v>164</v>
      </c>
      <c r="H466" s="1259"/>
      <c r="I466" s="1248"/>
      <c r="J466" s="323">
        <v>17769.6</v>
      </c>
      <c r="K466" s="323"/>
      <c r="L466" s="323"/>
      <c r="M466" s="68"/>
    </row>
    <row r="467" spans="1:47" ht="20.25" customHeight="1">
      <c r="A467" s="319"/>
      <c r="B467" s="469" t="s">
        <v>830</v>
      </c>
      <c r="C467" s="366"/>
      <c r="D467" s="367"/>
      <c r="E467" s="281" t="s">
        <v>17</v>
      </c>
      <c r="F467" s="368" t="s">
        <v>802</v>
      </c>
      <c r="G467" s="1258">
        <v>1</v>
      </c>
      <c r="H467" s="1259"/>
      <c r="I467" s="1248"/>
      <c r="J467" s="323">
        <v>289.8</v>
      </c>
      <c r="K467" s="323"/>
      <c r="L467" s="323"/>
      <c r="M467" s="68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89"/>
      <c r="AT467" s="189"/>
      <c r="AU467" s="189"/>
    </row>
    <row r="468" spans="1:47" s="189" customFormat="1" ht="20.25" customHeight="1">
      <c r="A468" s="1168" t="s">
        <v>627</v>
      </c>
      <c r="B468" s="1123" t="s">
        <v>642</v>
      </c>
      <c r="C468" s="366"/>
      <c r="D468" s="367"/>
      <c r="E468" s="279"/>
      <c r="F468" s="1151"/>
      <c r="G468" s="1224">
        <v>140</v>
      </c>
      <c r="H468" s="1225"/>
      <c r="I468" s="1226"/>
      <c r="J468" s="531">
        <f>J469+J470</f>
        <v>50665.05</v>
      </c>
      <c r="K468" s="531"/>
      <c r="L468" s="531"/>
      <c r="M468" s="1153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</row>
    <row r="469" spans="1:13" ht="20.25" customHeight="1">
      <c r="A469" s="319"/>
      <c r="B469" s="469" t="s">
        <v>829</v>
      </c>
      <c r="C469" s="366"/>
      <c r="D469" s="367"/>
      <c r="E469" s="281" t="s">
        <v>643</v>
      </c>
      <c r="F469" s="352" t="s">
        <v>711</v>
      </c>
      <c r="G469" s="1258">
        <v>140</v>
      </c>
      <c r="H469" s="1259"/>
      <c r="I469" s="1248"/>
      <c r="J469" s="323">
        <v>49798.8</v>
      </c>
      <c r="K469" s="323"/>
      <c r="L469" s="323"/>
      <c r="M469" s="68"/>
    </row>
    <row r="470" spans="1:14" ht="20.25" customHeight="1">
      <c r="A470" s="319"/>
      <c r="B470" s="469" t="s">
        <v>830</v>
      </c>
      <c r="C470" s="366"/>
      <c r="D470" s="367"/>
      <c r="E470" s="281" t="s">
        <v>17</v>
      </c>
      <c r="F470" s="368" t="s">
        <v>802</v>
      </c>
      <c r="G470" s="1258">
        <v>1</v>
      </c>
      <c r="H470" s="1259"/>
      <c r="I470" s="1248"/>
      <c r="J470" s="323">
        <v>866.25</v>
      </c>
      <c r="K470" s="323"/>
      <c r="L470" s="323"/>
      <c r="M470" s="68"/>
      <c r="N470" s="86"/>
    </row>
    <row r="471" spans="1:13" ht="25.5" customHeight="1">
      <c r="A471" s="628">
        <v>2</v>
      </c>
      <c r="B471" s="486" t="s">
        <v>197</v>
      </c>
      <c r="C471" s="254">
        <v>170703</v>
      </c>
      <c r="D471" s="254">
        <v>3132</v>
      </c>
      <c r="E471" s="277"/>
      <c r="F471" s="255" t="s">
        <v>711</v>
      </c>
      <c r="G471" s="1330">
        <f>G472+G477+G482+G487+G492+G497+G502+G507+G512+G517+G522+G527+G532+G537+G542+G547+G552+G557+G562+G567+G572+G577+G587+G592+G597+G602+G607+G614</f>
        <v>50046</v>
      </c>
      <c r="H471" s="1331"/>
      <c r="I471" s="1332"/>
      <c r="J471" s="234">
        <f>J472+J477+J482+J487+J492+J497+J502+J507+J512+J517+J522+J527+J532+J537+J542+J547+J552+J557+J562+J567+J572+J577+J582+J587+J592+J597+J602+J607+J612</f>
        <v>23295895.66</v>
      </c>
      <c r="K471" s="234">
        <v>23295895.66</v>
      </c>
      <c r="L471" s="365"/>
      <c r="M471" s="32"/>
    </row>
    <row r="472" spans="1:13" ht="20.25" customHeight="1">
      <c r="A472" s="436" t="s">
        <v>883</v>
      </c>
      <c r="B472" s="487" t="s">
        <v>893</v>
      </c>
      <c r="C472" s="364"/>
      <c r="D472" s="254"/>
      <c r="E472" s="277"/>
      <c r="F472" s="862" t="s">
        <v>711</v>
      </c>
      <c r="G472" s="1323">
        <f>G474</f>
        <v>939</v>
      </c>
      <c r="H472" s="1324"/>
      <c r="I472" s="1325"/>
      <c r="J472" s="360">
        <f>J473+J474+J475+J476</f>
        <v>452674.80000000005</v>
      </c>
      <c r="K472" s="360"/>
      <c r="L472" s="365"/>
      <c r="M472" s="68"/>
    </row>
    <row r="473" spans="1:13" ht="20.25" customHeight="1">
      <c r="A473" s="508"/>
      <c r="B473" s="487" t="s">
        <v>892</v>
      </c>
      <c r="C473" s="364"/>
      <c r="D473" s="254"/>
      <c r="E473" s="281" t="s">
        <v>838</v>
      </c>
      <c r="F473" s="368" t="s">
        <v>713</v>
      </c>
      <c r="G473" s="1319">
        <v>1</v>
      </c>
      <c r="H473" s="1320"/>
      <c r="I473" s="1321"/>
      <c r="J473" s="272">
        <v>5940</v>
      </c>
      <c r="K473" s="272"/>
      <c r="L473" s="338"/>
      <c r="M473" s="68"/>
    </row>
    <row r="474" spans="1:13" ht="20.25" customHeight="1">
      <c r="A474" s="436"/>
      <c r="B474" s="469" t="s">
        <v>829</v>
      </c>
      <c r="C474" s="364"/>
      <c r="D474" s="254"/>
      <c r="E474" s="281" t="s">
        <v>838</v>
      </c>
      <c r="F474" s="582" t="s">
        <v>711</v>
      </c>
      <c r="G474" s="1307">
        <v>939</v>
      </c>
      <c r="H474" s="1307"/>
      <c r="I474" s="1307"/>
      <c r="J474" s="272">
        <f>309293.96+128236.84</f>
        <v>437530.80000000005</v>
      </c>
      <c r="K474" s="272"/>
      <c r="L474" s="338"/>
      <c r="M474" s="68"/>
    </row>
    <row r="475" spans="1:13" ht="20.25" customHeight="1">
      <c r="A475" s="629"/>
      <c r="B475" s="469" t="s">
        <v>9</v>
      </c>
      <c r="C475" s="364"/>
      <c r="D475" s="254"/>
      <c r="E475" s="281" t="s">
        <v>838</v>
      </c>
      <c r="F475" s="368" t="s">
        <v>802</v>
      </c>
      <c r="G475" s="1319">
        <v>1</v>
      </c>
      <c r="H475" s="1320"/>
      <c r="I475" s="1321"/>
      <c r="J475" s="272">
        <v>1236</v>
      </c>
      <c r="K475" s="272"/>
      <c r="L475" s="338"/>
      <c r="M475" s="68"/>
    </row>
    <row r="476" spans="1:13" ht="20.25" customHeight="1">
      <c r="A476" s="629"/>
      <c r="B476" s="469" t="s">
        <v>830</v>
      </c>
      <c r="C476" s="364"/>
      <c r="D476" s="254"/>
      <c r="E476" s="322" t="s">
        <v>799</v>
      </c>
      <c r="F476" s="368" t="s">
        <v>802</v>
      </c>
      <c r="G476" s="1319">
        <v>1</v>
      </c>
      <c r="H476" s="1320"/>
      <c r="I476" s="1321"/>
      <c r="J476" s="272">
        <v>7968</v>
      </c>
      <c r="K476" s="272"/>
      <c r="L476" s="338"/>
      <c r="M476" s="68"/>
    </row>
    <row r="477" spans="1:13" ht="20.25" customHeight="1">
      <c r="A477" s="436" t="s">
        <v>884</v>
      </c>
      <c r="B477" s="469" t="s">
        <v>894</v>
      </c>
      <c r="C477" s="364"/>
      <c r="D477" s="254"/>
      <c r="E477" s="277"/>
      <c r="F477" s="862" t="s">
        <v>711</v>
      </c>
      <c r="G477" s="1333">
        <f>G479</f>
        <v>873</v>
      </c>
      <c r="H477" s="1333"/>
      <c r="I477" s="1333"/>
      <c r="J477" s="360">
        <f>J478+J479+J480+J481</f>
        <v>415695.4</v>
      </c>
      <c r="K477" s="360"/>
      <c r="L477" s="338"/>
      <c r="M477" s="68"/>
    </row>
    <row r="478" spans="1:13" ht="20.25" customHeight="1">
      <c r="A478" s="508"/>
      <c r="B478" s="487" t="s">
        <v>892</v>
      </c>
      <c r="C478" s="364"/>
      <c r="D478" s="254"/>
      <c r="E478" s="281" t="s">
        <v>838</v>
      </c>
      <c r="F478" s="368" t="s">
        <v>713</v>
      </c>
      <c r="G478" s="1307">
        <v>1</v>
      </c>
      <c r="H478" s="1307"/>
      <c r="I478" s="1307"/>
      <c r="J478" s="272">
        <v>5848.8</v>
      </c>
      <c r="K478" s="272"/>
      <c r="L478" s="338"/>
      <c r="M478" s="68"/>
    </row>
    <row r="479" spans="1:13" ht="20.25" customHeight="1">
      <c r="A479" s="436"/>
      <c r="B479" s="469" t="s">
        <v>829</v>
      </c>
      <c r="C479" s="364"/>
      <c r="D479" s="254"/>
      <c r="E479" s="281" t="s">
        <v>838</v>
      </c>
      <c r="F479" s="863" t="s">
        <v>711</v>
      </c>
      <c r="G479" s="1307">
        <v>873</v>
      </c>
      <c r="H479" s="1307"/>
      <c r="I479" s="1307"/>
      <c r="J479" s="272">
        <f>284198.59+117085.01</f>
        <v>401283.60000000003</v>
      </c>
      <c r="K479" s="272"/>
      <c r="L479" s="338"/>
      <c r="M479" s="68"/>
    </row>
    <row r="480" spans="1:13" ht="20.25" customHeight="1">
      <c r="A480" s="629"/>
      <c r="B480" s="469" t="s">
        <v>9</v>
      </c>
      <c r="C480" s="364"/>
      <c r="D480" s="254"/>
      <c r="E480" s="281" t="s">
        <v>838</v>
      </c>
      <c r="F480" s="368" t="s">
        <v>802</v>
      </c>
      <c r="G480" s="1319">
        <v>1</v>
      </c>
      <c r="H480" s="1320"/>
      <c r="I480" s="1321"/>
      <c r="J480" s="272">
        <v>1236</v>
      </c>
      <c r="K480" s="272"/>
      <c r="L480" s="338"/>
      <c r="M480" s="68"/>
    </row>
    <row r="481" spans="1:13" ht="20.25" customHeight="1">
      <c r="A481" s="629"/>
      <c r="B481" s="469" t="s">
        <v>830</v>
      </c>
      <c r="C481" s="366"/>
      <c r="D481" s="367"/>
      <c r="E481" s="322" t="s">
        <v>799</v>
      </c>
      <c r="F481" s="368" t="s">
        <v>802</v>
      </c>
      <c r="G481" s="1289">
        <v>1</v>
      </c>
      <c r="H481" s="1290"/>
      <c r="I481" s="1291"/>
      <c r="J481" s="272">
        <v>7327</v>
      </c>
      <c r="K481" s="272"/>
      <c r="L481" s="338"/>
      <c r="M481" s="68"/>
    </row>
    <row r="482" spans="1:13" ht="27.75" customHeight="1">
      <c r="A482" s="370" t="s">
        <v>885</v>
      </c>
      <c r="B482" s="487" t="s">
        <v>953</v>
      </c>
      <c r="C482" s="385"/>
      <c r="D482" s="280"/>
      <c r="E482" s="281"/>
      <c r="F482" s="862" t="s">
        <v>711</v>
      </c>
      <c r="G482" s="1224">
        <f>G484</f>
        <v>2108</v>
      </c>
      <c r="H482" s="1225"/>
      <c r="I482" s="1226"/>
      <c r="J482" s="360">
        <f>J483+J484+J485+J486</f>
        <v>985661.0000000001</v>
      </c>
      <c r="K482" s="360"/>
      <c r="L482" s="338"/>
      <c r="M482" s="68"/>
    </row>
    <row r="483" spans="1:13" ht="18" customHeight="1">
      <c r="A483" s="370"/>
      <c r="B483" s="487" t="s">
        <v>892</v>
      </c>
      <c r="C483" s="385"/>
      <c r="D483" s="280"/>
      <c r="E483" s="281" t="s">
        <v>838</v>
      </c>
      <c r="F483" s="368" t="s">
        <v>713</v>
      </c>
      <c r="G483" s="1319">
        <v>1</v>
      </c>
      <c r="H483" s="1320"/>
      <c r="I483" s="1321"/>
      <c r="J483" s="272">
        <v>5996.4</v>
      </c>
      <c r="K483" s="272"/>
      <c r="L483" s="338"/>
      <c r="M483" s="68"/>
    </row>
    <row r="484" spans="1:13" ht="17.25" customHeight="1">
      <c r="A484" s="319"/>
      <c r="B484" s="470" t="s">
        <v>829</v>
      </c>
      <c r="C484" s="724"/>
      <c r="D484" s="367"/>
      <c r="E484" s="322" t="s">
        <v>838</v>
      </c>
      <c r="F484" s="583" t="s">
        <v>711</v>
      </c>
      <c r="G484" s="1460">
        <v>2108</v>
      </c>
      <c r="H484" s="1460"/>
      <c r="I484" s="1460"/>
      <c r="J484" s="323">
        <f>680325.89+280127.71</f>
        <v>960453.6000000001</v>
      </c>
      <c r="K484" s="323"/>
      <c r="L484" s="1043"/>
      <c r="M484" s="68"/>
    </row>
    <row r="485" spans="1:13" ht="17.25" customHeight="1">
      <c r="A485" s="502"/>
      <c r="B485" s="469" t="s">
        <v>9</v>
      </c>
      <c r="C485" s="364"/>
      <c r="D485" s="254"/>
      <c r="E485" s="281" t="s">
        <v>838</v>
      </c>
      <c r="F485" s="282" t="s">
        <v>802</v>
      </c>
      <c r="G485" s="1319">
        <v>1</v>
      </c>
      <c r="H485" s="1320"/>
      <c r="I485" s="1321"/>
      <c r="J485" s="272">
        <v>1674</v>
      </c>
      <c r="K485" s="272"/>
      <c r="L485" s="338"/>
      <c r="M485" s="68"/>
    </row>
    <row r="486" spans="1:13" ht="17.25" customHeight="1">
      <c r="A486" s="502"/>
      <c r="B486" s="859" t="s">
        <v>830</v>
      </c>
      <c r="C486" s="649"/>
      <c r="D486" s="836"/>
      <c r="E486" s="325" t="s">
        <v>799</v>
      </c>
      <c r="F486" s="318" t="s">
        <v>802</v>
      </c>
      <c r="G486" s="1283">
        <v>1</v>
      </c>
      <c r="H486" s="1284"/>
      <c r="I486" s="1285"/>
      <c r="J486" s="332">
        <v>17537</v>
      </c>
      <c r="K486" s="332"/>
      <c r="L486" s="1044"/>
      <c r="M486" s="68"/>
    </row>
    <row r="487" spans="1:13" ht="16.5" customHeight="1">
      <c r="A487" s="370" t="s">
        <v>886</v>
      </c>
      <c r="B487" s="487" t="s">
        <v>919</v>
      </c>
      <c r="C487" s="385"/>
      <c r="D487" s="280"/>
      <c r="E487" s="281"/>
      <c r="F487" s="862" t="s">
        <v>711</v>
      </c>
      <c r="G487" s="1323">
        <f>G489</f>
        <v>800</v>
      </c>
      <c r="H487" s="1324"/>
      <c r="I487" s="1325"/>
      <c r="J487" s="360">
        <f>J488+J489+J490+J491</f>
        <v>383958.2</v>
      </c>
      <c r="K487" s="360"/>
      <c r="L487" s="338"/>
      <c r="M487" s="68"/>
    </row>
    <row r="488" spans="1:13" ht="18" customHeight="1">
      <c r="A488" s="370"/>
      <c r="B488" s="487" t="s">
        <v>892</v>
      </c>
      <c r="C488" s="385"/>
      <c r="D488" s="280"/>
      <c r="E488" s="281" t="s">
        <v>838</v>
      </c>
      <c r="F488" s="368" t="s">
        <v>713</v>
      </c>
      <c r="G488" s="1319">
        <v>1</v>
      </c>
      <c r="H488" s="1320"/>
      <c r="I488" s="1321"/>
      <c r="J488" s="272">
        <v>5288.4</v>
      </c>
      <c r="K488" s="272"/>
      <c r="L488" s="338"/>
      <c r="M488" s="68"/>
    </row>
    <row r="489" spans="1:13" ht="17.25" customHeight="1">
      <c r="A489" s="502"/>
      <c r="B489" s="469" t="s">
        <v>829</v>
      </c>
      <c r="C489" s="385"/>
      <c r="D489" s="280"/>
      <c r="E489" s="281" t="s">
        <v>838</v>
      </c>
      <c r="F489" s="863" t="s">
        <v>711</v>
      </c>
      <c r="G489" s="1307">
        <v>800</v>
      </c>
      <c r="H489" s="1307"/>
      <c r="I489" s="1307"/>
      <c r="J489" s="272">
        <f>260378.34+110408.46</f>
        <v>370786.8</v>
      </c>
      <c r="K489" s="272"/>
      <c r="L489" s="338"/>
      <c r="M489" s="68"/>
    </row>
    <row r="490" spans="1:13" ht="17.25" customHeight="1">
      <c r="A490" s="502"/>
      <c r="B490" s="469" t="s">
        <v>9</v>
      </c>
      <c r="C490" s="364"/>
      <c r="D490" s="254"/>
      <c r="E490" s="281" t="s">
        <v>838</v>
      </c>
      <c r="F490" s="368" t="s">
        <v>802</v>
      </c>
      <c r="G490" s="1289">
        <v>1</v>
      </c>
      <c r="H490" s="1290"/>
      <c r="I490" s="1291"/>
      <c r="J490" s="272">
        <v>1116</v>
      </c>
      <c r="K490" s="272"/>
      <c r="L490" s="338"/>
      <c r="M490" s="68"/>
    </row>
    <row r="491" spans="1:13" ht="17.25" customHeight="1">
      <c r="A491" s="502"/>
      <c r="B491" s="469" t="s">
        <v>830</v>
      </c>
      <c r="C491" s="366"/>
      <c r="D491" s="367"/>
      <c r="E491" s="322" t="s">
        <v>799</v>
      </c>
      <c r="F491" s="368" t="s">
        <v>802</v>
      </c>
      <c r="G491" s="1289">
        <v>1</v>
      </c>
      <c r="H491" s="1290"/>
      <c r="I491" s="1291"/>
      <c r="J491" s="272">
        <v>6767</v>
      </c>
      <c r="K491" s="272"/>
      <c r="L491" s="338"/>
      <c r="M491" s="68"/>
    </row>
    <row r="492" spans="1:13" ht="20.25" customHeight="1">
      <c r="A492" s="370" t="s">
        <v>887</v>
      </c>
      <c r="B492" s="487" t="s">
        <v>920</v>
      </c>
      <c r="C492" s="385"/>
      <c r="D492" s="280"/>
      <c r="E492" s="281"/>
      <c r="F492" s="862" t="s">
        <v>711</v>
      </c>
      <c r="G492" s="1323">
        <v>2900</v>
      </c>
      <c r="H492" s="1324"/>
      <c r="I492" s="1325"/>
      <c r="J492" s="360">
        <f>J493+J494+J495+J496</f>
        <v>1258643.5999999999</v>
      </c>
      <c r="K492" s="360"/>
      <c r="L492" s="338"/>
      <c r="M492" s="68"/>
    </row>
    <row r="493" spans="1:13" ht="19.5" customHeight="1">
      <c r="A493" s="333"/>
      <c r="B493" s="487" t="s">
        <v>892</v>
      </c>
      <c r="C493" s="385"/>
      <c r="D493" s="280"/>
      <c r="E493" s="281" t="s">
        <v>838</v>
      </c>
      <c r="F493" s="368" t="s">
        <v>713</v>
      </c>
      <c r="G493" s="1319">
        <v>1</v>
      </c>
      <c r="H493" s="1320"/>
      <c r="I493" s="1321"/>
      <c r="J493" s="272">
        <v>5923.2</v>
      </c>
      <c r="K493" s="272"/>
      <c r="L493" s="365"/>
      <c r="M493" s="68"/>
    </row>
    <row r="494" spans="1:13" ht="18" customHeight="1">
      <c r="A494" s="502"/>
      <c r="B494" s="469" t="s">
        <v>829</v>
      </c>
      <c r="C494" s="385"/>
      <c r="D494" s="280"/>
      <c r="E494" s="281" t="s">
        <v>838</v>
      </c>
      <c r="F494" s="582" t="s">
        <v>711</v>
      </c>
      <c r="G494" s="1307">
        <v>2900</v>
      </c>
      <c r="H494" s="1307"/>
      <c r="I494" s="1307"/>
      <c r="J494" s="272">
        <f>886676.36+341922.04</f>
        <v>1228598.4</v>
      </c>
      <c r="K494" s="272"/>
      <c r="L494" s="365"/>
      <c r="M494" s="68"/>
    </row>
    <row r="495" spans="1:13" ht="18" customHeight="1">
      <c r="A495" s="502"/>
      <c r="B495" s="469" t="s">
        <v>9</v>
      </c>
      <c r="C495" s="385"/>
      <c r="D495" s="280"/>
      <c r="E495" s="281" t="s">
        <v>838</v>
      </c>
      <c r="F495" s="368" t="s">
        <v>802</v>
      </c>
      <c r="G495" s="1289">
        <v>1</v>
      </c>
      <c r="H495" s="1290"/>
      <c r="I495" s="1291"/>
      <c r="J495" s="272">
        <v>1674</v>
      </c>
      <c r="K495" s="272"/>
      <c r="L495" s="365"/>
      <c r="M495" s="68"/>
    </row>
    <row r="496" spans="1:13" ht="18" customHeight="1">
      <c r="A496" s="502"/>
      <c r="B496" s="469" t="s">
        <v>830</v>
      </c>
      <c r="C496" s="385"/>
      <c r="D496" s="280"/>
      <c r="E496" s="281" t="s">
        <v>17</v>
      </c>
      <c r="F496" s="368" t="s">
        <v>802</v>
      </c>
      <c r="G496" s="1289">
        <v>1</v>
      </c>
      <c r="H496" s="1290"/>
      <c r="I496" s="1291"/>
      <c r="J496" s="323">
        <v>22448</v>
      </c>
      <c r="K496" s="323"/>
      <c r="L496" s="365"/>
      <c r="M496" s="68"/>
    </row>
    <row r="497" spans="1:13" ht="17.25" customHeight="1">
      <c r="A497" s="370" t="s">
        <v>888</v>
      </c>
      <c r="B497" s="487" t="s">
        <v>921</v>
      </c>
      <c r="C497" s="385"/>
      <c r="D497" s="280"/>
      <c r="E497" s="281"/>
      <c r="F497" s="862" t="s">
        <v>711</v>
      </c>
      <c r="G497" s="1224">
        <v>1733</v>
      </c>
      <c r="H497" s="1225"/>
      <c r="I497" s="1226"/>
      <c r="J497" s="360">
        <f>J498+J499+J500+J501</f>
        <v>892603.8</v>
      </c>
      <c r="K497" s="360"/>
      <c r="L497" s="365"/>
      <c r="M497" s="68"/>
    </row>
    <row r="498" spans="1:13" ht="17.25" customHeight="1">
      <c r="A498" s="504"/>
      <c r="B498" s="487" t="s">
        <v>892</v>
      </c>
      <c r="C498" s="385"/>
      <c r="D498" s="280"/>
      <c r="E498" s="281" t="s">
        <v>838</v>
      </c>
      <c r="F498" s="368" t="s">
        <v>713</v>
      </c>
      <c r="G498" s="1258">
        <v>1</v>
      </c>
      <c r="H498" s="1259"/>
      <c r="I498" s="1248"/>
      <c r="J498" s="272">
        <v>5998.8</v>
      </c>
      <c r="K498" s="272"/>
      <c r="L498" s="365"/>
      <c r="M498" s="68"/>
    </row>
    <row r="499" spans="1:13" ht="18" customHeight="1">
      <c r="A499" s="370"/>
      <c r="B499" s="469" t="s">
        <v>829</v>
      </c>
      <c r="C499" s="385"/>
      <c r="D499" s="280"/>
      <c r="E499" s="281" t="s">
        <v>838</v>
      </c>
      <c r="F499" s="582" t="s">
        <v>711</v>
      </c>
      <c r="G499" s="1243">
        <v>1288</v>
      </c>
      <c r="H499" s="1243"/>
      <c r="I499" s="1243"/>
      <c r="J499" s="272">
        <f>648624.97+220457.03</f>
        <v>869082</v>
      </c>
      <c r="K499" s="272"/>
      <c r="L499" s="365"/>
      <c r="M499" s="68"/>
    </row>
    <row r="500" spans="1:13" ht="17.25" customHeight="1">
      <c r="A500" s="319"/>
      <c r="B500" s="469" t="s">
        <v>9</v>
      </c>
      <c r="C500" s="385"/>
      <c r="D500" s="280"/>
      <c r="E500" s="281" t="s">
        <v>838</v>
      </c>
      <c r="F500" s="368" t="s">
        <v>802</v>
      </c>
      <c r="G500" s="1289">
        <v>1</v>
      </c>
      <c r="H500" s="1290"/>
      <c r="I500" s="1291"/>
      <c r="J500" s="272">
        <v>1674</v>
      </c>
      <c r="K500" s="272"/>
      <c r="L500" s="365"/>
      <c r="M500" s="68"/>
    </row>
    <row r="501" spans="1:13" ht="16.5" customHeight="1">
      <c r="A501" s="370"/>
      <c r="B501" s="469" t="s">
        <v>830</v>
      </c>
      <c r="C501" s="385"/>
      <c r="D501" s="280"/>
      <c r="E501" s="281" t="s">
        <v>17</v>
      </c>
      <c r="F501" s="368" t="s">
        <v>802</v>
      </c>
      <c r="G501" s="1289">
        <v>1</v>
      </c>
      <c r="H501" s="1290"/>
      <c r="I501" s="1291"/>
      <c r="J501" s="323">
        <v>15849</v>
      </c>
      <c r="K501" s="323"/>
      <c r="L501" s="365"/>
      <c r="M501" s="68"/>
    </row>
    <row r="502" spans="1:13" ht="40.5" customHeight="1">
      <c r="A502" s="436" t="s">
        <v>889</v>
      </c>
      <c r="B502" s="487" t="s">
        <v>79</v>
      </c>
      <c r="C502" s="364"/>
      <c r="D502" s="254"/>
      <c r="E502" s="277"/>
      <c r="F502" s="862" t="s">
        <v>711</v>
      </c>
      <c r="G502" s="1224">
        <f>2897</f>
        <v>2897</v>
      </c>
      <c r="H502" s="1225"/>
      <c r="I502" s="1226"/>
      <c r="J502" s="360">
        <f>J503+J504+J505+J506</f>
        <v>1280737.8</v>
      </c>
      <c r="K502" s="360"/>
      <c r="L502" s="365"/>
      <c r="M502" s="68"/>
    </row>
    <row r="503" spans="1:13" ht="19.5" customHeight="1">
      <c r="A503" s="508"/>
      <c r="B503" s="487" t="s">
        <v>892</v>
      </c>
      <c r="C503" s="385"/>
      <c r="D503" s="280"/>
      <c r="E503" s="281" t="s">
        <v>838</v>
      </c>
      <c r="F503" s="368" t="s">
        <v>713</v>
      </c>
      <c r="G503" s="1319">
        <v>1</v>
      </c>
      <c r="H503" s="1320"/>
      <c r="I503" s="1321"/>
      <c r="J503" s="272">
        <v>5944.8</v>
      </c>
      <c r="K503" s="272"/>
      <c r="L503" s="365"/>
      <c r="M503" s="68"/>
    </row>
    <row r="504" spans="1:13" ht="19.5" customHeight="1">
      <c r="A504" s="436"/>
      <c r="B504" s="469" t="s">
        <v>829</v>
      </c>
      <c r="C504" s="385"/>
      <c r="D504" s="280"/>
      <c r="E504" s="281" t="s">
        <v>838</v>
      </c>
      <c r="F504" s="582" t="s">
        <v>711</v>
      </c>
      <c r="G504" s="1243">
        <v>2897</v>
      </c>
      <c r="H504" s="1243"/>
      <c r="I504" s="1243"/>
      <c r="J504" s="272">
        <f>916142.94+334143.06</f>
        <v>1250286</v>
      </c>
      <c r="K504" s="272"/>
      <c r="L504" s="365"/>
      <c r="M504" s="68"/>
    </row>
    <row r="505" spans="1:13" ht="18" customHeight="1">
      <c r="A505" s="722"/>
      <c r="B505" s="469" t="s">
        <v>9</v>
      </c>
      <c r="C505" s="385"/>
      <c r="D505" s="280"/>
      <c r="E505" s="281" t="s">
        <v>838</v>
      </c>
      <c r="F505" s="368" t="s">
        <v>802</v>
      </c>
      <c r="G505" s="1289">
        <v>1</v>
      </c>
      <c r="H505" s="1290"/>
      <c r="I505" s="1291"/>
      <c r="J505" s="272">
        <v>1674</v>
      </c>
      <c r="K505" s="272"/>
      <c r="L505" s="365"/>
      <c r="M505" s="68"/>
    </row>
    <row r="506" spans="1:13" ht="16.5" customHeight="1">
      <c r="A506" s="629"/>
      <c r="B506" s="469" t="s">
        <v>830</v>
      </c>
      <c r="C506" s="385"/>
      <c r="D506" s="280"/>
      <c r="E506" s="281" t="s">
        <v>17</v>
      </c>
      <c r="F506" s="368" t="s">
        <v>802</v>
      </c>
      <c r="G506" s="1289">
        <v>1</v>
      </c>
      <c r="H506" s="1290"/>
      <c r="I506" s="1291"/>
      <c r="J506" s="384">
        <v>22833</v>
      </c>
      <c r="K506" s="384"/>
      <c r="L506" s="365"/>
      <c r="M506" s="68"/>
    </row>
    <row r="507" spans="1:13" ht="19.5" customHeight="1">
      <c r="A507" s="370" t="s">
        <v>890</v>
      </c>
      <c r="B507" s="487" t="s">
        <v>923</v>
      </c>
      <c r="C507" s="364"/>
      <c r="D507" s="254"/>
      <c r="E507" s="277"/>
      <c r="F507" s="862" t="s">
        <v>711</v>
      </c>
      <c r="G507" s="1224">
        <v>1138</v>
      </c>
      <c r="H507" s="1225"/>
      <c r="I507" s="1226"/>
      <c r="J507" s="360">
        <f>J508+J509+J510+J511</f>
        <v>580470.2</v>
      </c>
      <c r="K507" s="360"/>
      <c r="L507" s="365"/>
      <c r="M507" s="68"/>
    </row>
    <row r="508" spans="1:13" ht="21" customHeight="1">
      <c r="A508" s="504"/>
      <c r="B508" s="487" t="s">
        <v>892</v>
      </c>
      <c r="C508" s="385"/>
      <c r="D508" s="280"/>
      <c r="E508" s="281" t="s">
        <v>838</v>
      </c>
      <c r="F508" s="368" t="s">
        <v>713</v>
      </c>
      <c r="G508" s="1319">
        <v>1</v>
      </c>
      <c r="H508" s="1320"/>
      <c r="I508" s="1321"/>
      <c r="J508" s="272">
        <v>5712</v>
      </c>
      <c r="K508" s="272"/>
      <c r="L508" s="365"/>
      <c r="M508" s="68"/>
    </row>
    <row r="509" spans="1:13" ht="17.25" customHeight="1">
      <c r="A509" s="370"/>
      <c r="B509" s="469" t="s">
        <v>829</v>
      </c>
      <c r="C509" s="385"/>
      <c r="D509" s="280"/>
      <c r="E509" s="281" t="s">
        <v>838</v>
      </c>
      <c r="F509" s="582" t="s">
        <v>711</v>
      </c>
      <c r="G509" s="1258">
        <v>1138</v>
      </c>
      <c r="H509" s="1259"/>
      <c r="I509" s="1248"/>
      <c r="J509" s="272">
        <f>388306.15+174615.05</f>
        <v>562921.2</v>
      </c>
      <c r="K509" s="272"/>
      <c r="L509" s="365"/>
      <c r="M509" s="68"/>
    </row>
    <row r="510" spans="1:13" ht="15" customHeight="1">
      <c r="A510" s="319"/>
      <c r="B510" s="469" t="s">
        <v>9</v>
      </c>
      <c r="C510" s="385"/>
      <c r="D510" s="280"/>
      <c r="E510" s="281" t="s">
        <v>838</v>
      </c>
      <c r="F510" s="368" t="s">
        <v>802</v>
      </c>
      <c r="G510" s="1289">
        <v>1</v>
      </c>
      <c r="H510" s="1290"/>
      <c r="I510" s="1291"/>
      <c r="J510" s="272">
        <v>1674</v>
      </c>
      <c r="K510" s="272"/>
      <c r="L510" s="365"/>
      <c r="M510" s="68"/>
    </row>
    <row r="511" spans="1:13" ht="16.5" customHeight="1">
      <c r="A511" s="370"/>
      <c r="B511" s="469" t="s">
        <v>830</v>
      </c>
      <c r="C511" s="385"/>
      <c r="D511" s="280"/>
      <c r="E511" s="281" t="s">
        <v>17</v>
      </c>
      <c r="F511" s="368" t="s">
        <v>802</v>
      </c>
      <c r="G511" s="1289">
        <v>1</v>
      </c>
      <c r="H511" s="1290"/>
      <c r="I511" s="1291"/>
      <c r="J511" s="384">
        <v>10163</v>
      </c>
      <c r="K511" s="384"/>
      <c r="L511" s="365"/>
      <c r="M511" s="68"/>
    </row>
    <row r="512" spans="1:13" ht="18" customHeight="1">
      <c r="A512" s="502" t="s">
        <v>138</v>
      </c>
      <c r="B512" s="372" t="s">
        <v>385</v>
      </c>
      <c r="C512" s="364"/>
      <c r="D512" s="254"/>
      <c r="E512" s="277"/>
      <c r="F512" s="1014" t="s">
        <v>711</v>
      </c>
      <c r="G512" s="1354">
        <f>G514</f>
        <v>1280</v>
      </c>
      <c r="H512" s="1354"/>
      <c r="I512" s="1354"/>
      <c r="J512" s="360">
        <f>J513+J514+J515+J516</f>
        <v>580864.4</v>
      </c>
      <c r="K512" s="360"/>
      <c r="L512" s="365"/>
      <c r="M512" s="68"/>
    </row>
    <row r="513" spans="1:13" ht="18" customHeight="1">
      <c r="A513" s="508"/>
      <c r="B513" s="372" t="s">
        <v>892</v>
      </c>
      <c r="C513" s="385"/>
      <c r="D513" s="280"/>
      <c r="E513" s="281" t="s">
        <v>838</v>
      </c>
      <c r="F513" s="282" t="s">
        <v>713</v>
      </c>
      <c r="G513" s="1307">
        <v>1</v>
      </c>
      <c r="H513" s="1307"/>
      <c r="I513" s="1307"/>
      <c r="J513" s="272">
        <v>6822</v>
      </c>
      <c r="K513" s="272"/>
      <c r="L513" s="365"/>
      <c r="M513" s="68"/>
    </row>
    <row r="514" spans="1:13" ht="18" customHeight="1">
      <c r="A514" s="436"/>
      <c r="B514" s="469" t="s">
        <v>829</v>
      </c>
      <c r="C514" s="385"/>
      <c r="D514" s="280"/>
      <c r="E514" s="281" t="s">
        <v>838</v>
      </c>
      <c r="F514" s="582" t="s">
        <v>711</v>
      </c>
      <c r="G514" s="1258">
        <v>1280</v>
      </c>
      <c r="H514" s="1259"/>
      <c r="I514" s="1248"/>
      <c r="J514" s="272">
        <f>390477.26+171071.14</f>
        <v>561548.4</v>
      </c>
      <c r="K514" s="272"/>
      <c r="L514" s="365"/>
      <c r="M514" s="68"/>
    </row>
    <row r="515" spans="1:13" ht="18" customHeight="1">
      <c r="A515" s="722"/>
      <c r="B515" s="469" t="s">
        <v>9</v>
      </c>
      <c r="C515" s="385"/>
      <c r="D515" s="280"/>
      <c r="E515" s="281" t="s">
        <v>838</v>
      </c>
      <c r="F515" s="368" t="s">
        <v>802</v>
      </c>
      <c r="G515" s="1289">
        <v>1</v>
      </c>
      <c r="H515" s="1290"/>
      <c r="I515" s="1291"/>
      <c r="J515" s="272">
        <v>2232</v>
      </c>
      <c r="K515" s="272"/>
      <c r="L515" s="365"/>
      <c r="M515" s="68"/>
    </row>
    <row r="516" spans="1:13" ht="18" customHeight="1">
      <c r="A516" s="436"/>
      <c r="B516" s="469" t="s">
        <v>830</v>
      </c>
      <c r="C516" s="385"/>
      <c r="D516" s="280"/>
      <c r="E516" s="281" t="s">
        <v>17</v>
      </c>
      <c r="F516" s="282" t="s">
        <v>802</v>
      </c>
      <c r="G516" s="1258">
        <v>1</v>
      </c>
      <c r="H516" s="1259"/>
      <c r="I516" s="1248"/>
      <c r="J516" s="384">
        <v>10262</v>
      </c>
      <c r="K516" s="384"/>
      <c r="L516" s="365"/>
      <c r="M516" s="68"/>
    </row>
    <row r="517" spans="1:13" ht="25.5" customHeight="1">
      <c r="A517" s="370" t="s">
        <v>139</v>
      </c>
      <c r="B517" s="469" t="s">
        <v>140</v>
      </c>
      <c r="C517" s="385"/>
      <c r="D517" s="280"/>
      <c r="E517" s="281"/>
      <c r="F517" s="862" t="s">
        <v>711</v>
      </c>
      <c r="G517" s="1224">
        <v>2317</v>
      </c>
      <c r="H517" s="1225"/>
      <c r="I517" s="1226"/>
      <c r="J517" s="360">
        <f>J518+J519+J520+J521</f>
        <v>1071935</v>
      </c>
      <c r="K517" s="360"/>
      <c r="L517" s="365"/>
      <c r="M517" s="68"/>
    </row>
    <row r="518" spans="1:13" ht="18.75" customHeight="1">
      <c r="A518" s="508"/>
      <c r="B518" s="487" t="s">
        <v>892</v>
      </c>
      <c r="C518" s="385"/>
      <c r="D518" s="280"/>
      <c r="E518" s="281" t="s">
        <v>838</v>
      </c>
      <c r="F518" s="282" t="s">
        <v>713</v>
      </c>
      <c r="G518" s="1307">
        <v>1</v>
      </c>
      <c r="H518" s="1307"/>
      <c r="I518" s="1307"/>
      <c r="J518" s="272">
        <v>7105.2</v>
      </c>
      <c r="K518" s="272"/>
      <c r="L518" s="365"/>
      <c r="M518" s="68"/>
    </row>
    <row r="519" spans="1:13" ht="18.75" customHeight="1">
      <c r="A519" s="436"/>
      <c r="B519" s="859" t="s">
        <v>829</v>
      </c>
      <c r="C519" s="385"/>
      <c r="D519" s="280"/>
      <c r="E519" s="281" t="s">
        <v>838</v>
      </c>
      <c r="F519" s="582" t="s">
        <v>711</v>
      </c>
      <c r="G519" s="1258">
        <v>2317</v>
      </c>
      <c r="H519" s="1259"/>
      <c r="I519" s="1248"/>
      <c r="J519" s="272">
        <f>729713.4+313823.4</f>
        <v>1043536.8</v>
      </c>
      <c r="K519" s="272"/>
      <c r="L519" s="365"/>
      <c r="M519" s="68"/>
    </row>
    <row r="520" spans="1:13" ht="18.75" customHeight="1">
      <c r="A520" s="722"/>
      <c r="B520" s="469" t="s">
        <v>9</v>
      </c>
      <c r="C520" s="385"/>
      <c r="D520" s="280"/>
      <c r="E520" s="281" t="s">
        <v>838</v>
      </c>
      <c r="F520" s="368" t="s">
        <v>802</v>
      </c>
      <c r="G520" s="1289">
        <v>1</v>
      </c>
      <c r="H520" s="1290"/>
      <c r="I520" s="1291"/>
      <c r="J520" s="272">
        <v>2232</v>
      </c>
      <c r="K520" s="272"/>
      <c r="L520" s="365"/>
      <c r="M520" s="68"/>
    </row>
    <row r="521" spans="1:13" ht="18.75" customHeight="1">
      <c r="A521" s="629"/>
      <c r="B521" s="469" t="s">
        <v>830</v>
      </c>
      <c r="C521" s="385"/>
      <c r="D521" s="280"/>
      <c r="E521" s="281" t="s">
        <v>17</v>
      </c>
      <c r="F521" s="368" t="s">
        <v>802</v>
      </c>
      <c r="G521" s="1289">
        <v>1</v>
      </c>
      <c r="H521" s="1290"/>
      <c r="I521" s="1291"/>
      <c r="J521" s="384">
        <v>19061</v>
      </c>
      <c r="K521" s="384"/>
      <c r="L521" s="365"/>
      <c r="M521" s="68"/>
    </row>
    <row r="522" spans="1:13" ht="18.75" customHeight="1">
      <c r="A522" s="370" t="s">
        <v>229</v>
      </c>
      <c r="B522" s="469" t="s">
        <v>230</v>
      </c>
      <c r="C522" s="385"/>
      <c r="D522" s="280"/>
      <c r="E522" s="281"/>
      <c r="F522" s="862" t="s">
        <v>711</v>
      </c>
      <c r="G522" s="1323">
        <v>1531</v>
      </c>
      <c r="H522" s="1324"/>
      <c r="I522" s="1325"/>
      <c r="J522" s="360">
        <f>J523+J524+J525+J526</f>
        <v>689341.8</v>
      </c>
      <c r="K522" s="360"/>
      <c r="L522" s="365"/>
      <c r="M522" s="68"/>
    </row>
    <row r="523" spans="1:13" ht="18.75" customHeight="1">
      <c r="A523" s="436"/>
      <c r="B523" s="487" t="s">
        <v>892</v>
      </c>
      <c r="C523" s="385"/>
      <c r="D523" s="280"/>
      <c r="E523" s="281" t="s">
        <v>838</v>
      </c>
      <c r="F523" s="282" t="s">
        <v>713</v>
      </c>
      <c r="G523" s="1307">
        <v>1</v>
      </c>
      <c r="H523" s="1307"/>
      <c r="I523" s="1307"/>
      <c r="J523" s="272">
        <v>6986.4</v>
      </c>
      <c r="K523" s="272"/>
      <c r="L523" s="365"/>
      <c r="M523" s="68"/>
    </row>
    <row r="524" spans="1:13" ht="18.75" customHeight="1">
      <c r="A524" s="629"/>
      <c r="B524" s="469" t="s">
        <v>829</v>
      </c>
      <c r="C524" s="385"/>
      <c r="D524" s="280"/>
      <c r="E524" s="281" t="s">
        <v>838</v>
      </c>
      <c r="F524" s="582" t="s">
        <v>711</v>
      </c>
      <c r="G524" s="1319">
        <v>1531</v>
      </c>
      <c r="H524" s="1320"/>
      <c r="I524" s="1321"/>
      <c r="J524" s="272">
        <v>667922.4</v>
      </c>
      <c r="K524" s="272"/>
      <c r="L524" s="365"/>
      <c r="M524" s="68"/>
    </row>
    <row r="525" spans="1:13" ht="18.75" customHeight="1">
      <c r="A525" s="1126"/>
      <c r="B525" s="469" t="s">
        <v>9</v>
      </c>
      <c r="C525" s="385"/>
      <c r="D525" s="280"/>
      <c r="E525" s="281" t="s">
        <v>838</v>
      </c>
      <c r="F525" s="368" t="s">
        <v>802</v>
      </c>
      <c r="G525" s="1289">
        <v>1</v>
      </c>
      <c r="H525" s="1290"/>
      <c r="I525" s="1291"/>
      <c r="J525" s="272">
        <v>2232</v>
      </c>
      <c r="K525" s="272"/>
      <c r="L525" s="365"/>
      <c r="M525" s="68"/>
    </row>
    <row r="526" spans="1:13" ht="18.75" customHeight="1">
      <c r="A526" s="436"/>
      <c r="B526" s="469" t="s">
        <v>830</v>
      </c>
      <c r="C526" s="385"/>
      <c r="D526" s="280"/>
      <c r="E526" s="281" t="s">
        <v>17</v>
      </c>
      <c r="F526" s="368" t="s">
        <v>802</v>
      </c>
      <c r="G526" s="1289">
        <v>1</v>
      </c>
      <c r="H526" s="1290"/>
      <c r="I526" s="1291"/>
      <c r="J526" s="272">
        <v>12201</v>
      </c>
      <c r="K526" s="272"/>
      <c r="L526" s="365"/>
      <c r="M526" s="68"/>
    </row>
    <row r="527" spans="1:13" ht="21.75" customHeight="1">
      <c r="A527" s="504" t="s">
        <v>231</v>
      </c>
      <c r="B527" s="469" t="s">
        <v>232</v>
      </c>
      <c r="C527" s="385"/>
      <c r="D527" s="280"/>
      <c r="E527" s="281"/>
      <c r="F527" s="862" t="s">
        <v>711</v>
      </c>
      <c r="G527" s="1342">
        <v>2323</v>
      </c>
      <c r="H527" s="1342"/>
      <c r="I527" s="1342"/>
      <c r="J527" s="360">
        <f>J528+J529+J530+J531</f>
        <v>1043436.2000000001</v>
      </c>
      <c r="K527" s="360"/>
      <c r="L527" s="365"/>
      <c r="M527" s="68"/>
    </row>
    <row r="528" spans="1:13" ht="18.75" customHeight="1">
      <c r="A528" s="508"/>
      <c r="B528" s="487" t="s">
        <v>892</v>
      </c>
      <c r="C528" s="385"/>
      <c r="D528" s="280"/>
      <c r="E528" s="281" t="s">
        <v>838</v>
      </c>
      <c r="F528" s="282" t="s">
        <v>713</v>
      </c>
      <c r="G528" s="1307">
        <v>1</v>
      </c>
      <c r="H528" s="1307"/>
      <c r="I528" s="1307"/>
      <c r="J528" s="272">
        <v>7102.8</v>
      </c>
      <c r="K528" s="272"/>
      <c r="L528" s="365"/>
      <c r="M528" s="68"/>
    </row>
    <row r="529" spans="1:13" ht="20.25" customHeight="1">
      <c r="A529" s="436"/>
      <c r="B529" s="469" t="s">
        <v>829</v>
      </c>
      <c r="C529" s="474"/>
      <c r="D529" s="474"/>
      <c r="E529" s="281" t="s">
        <v>838</v>
      </c>
      <c r="F529" s="582" t="s">
        <v>711</v>
      </c>
      <c r="G529" s="1342">
        <v>2323</v>
      </c>
      <c r="H529" s="1342"/>
      <c r="I529" s="1342"/>
      <c r="J529" s="384">
        <v>1015550.4</v>
      </c>
      <c r="K529" s="384"/>
      <c r="L529" s="782"/>
      <c r="M529" s="68"/>
    </row>
    <row r="530" spans="1:13" ht="20.25" customHeight="1">
      <c r="A530" s="722"/>
      <c r="B530" s="469" t="s">
        <v>9</v>
      </c>
      <c r="C530" s="385"/>
      <c r="D530" s="280"/>
      <c r="E530" s="281" t="s">
        <v>838</v>
      </c>
      <c r="F530" s="368" t="s">
        <v>802</v>
      </c>
      <c r="G530" s="1289">
        <v>1</v>
      </c>
      <c r="H530" s="1290"/>
      <c r="I530" s="1291"/>
      <c r="J530" s="384">
        <v>2232</v>
      </c>
      <c r="K530" s="384"/>
      <c r="L530" s="782"/>
      <c r="M530" s="68"/>
    </row>
    <row r="531" spans="1:13" ht="20.25" customHeight="1">
      <c r="A531" s="436"/>
      <c r="B531" s="469" t="s">
        <v>830</v>
      </c>
      <c r="C531" s="385"/>
      <c r="D531" s="280"/>
      <c r="E531" s="281" t="s">
        <v>17</v>
      </c>
      <c r="F531" s="368" t="s">
        <v>802</v>
      </c>
      <c r="G531" s="1289">
        <v>1</v>
      </c>
      <c r="H531" s="1290"/>
      <c r="I531" s="1291"/>
      <c r="J531" s="384">
        <v>18551</v>
      </c>
      <c r="K531" s="384"/>
      <c r="L531" s="782"/>
      <c r="M531" s="68"/>
    </row>
    <row r="532" spans="1:13" ht="20.25" customHeight="1">
      <c r="A532" s="502" t="s">
        <v>409</v>
      </c>
      <c r="B532" s="469" t="s">
        <v>410</v>
      </c>
      <c r="C532" s="474"/>
      <c r="D532" s="474"/>
      <c r="E532" s="281"/>
      <c r="F532" s="1014" t="s">
        <v>711</v>
      </c>
      <c r="G532" s="1361">
        <f>G535</f>
        <v>1150</v>
      </c>
      <c r="H532" s="1359"/>
      <c r="I532" s="1360"/>
      <c r="J532" s="616">
        <f>J533+J534+J535+J536</f>
        <v>538025.4</v>
      </c>
      <c r="K532" s="616"/>
      <c r="L532" s="782"/>
      <c r="M532" s="68"/>
    </row>
    <row r="533" spans="1:13" ht="20.25" customHeight="1">
      <c r="A533" s="508"/>
      <c r="B533" s="487" t="s">
        <v>892</v>
      </c>
      <c r="C533" s="385"/>
      <c r="D533" s="280"/>
      <c r="E533" s="281" t="s">
        <v>838</v>
      </c>
      <c r="F533" s="282" t="s">
        <v>713</v>
      </c>
      <c r="G533" s="1307">
        <v>1</v>
      </c>
      <c r="H533" s="1307"/>
      <c r="I533" s="1307"/>
      <c r="J533" s="272">
        <v>6723.6</v>
      </c>
      <c r="K533" s="272"/>
      <c r="L533" s="782"/>
      <c r="M533" s="68"/>
    </row>
    <row r="534" spans="1:13" ht="20.25" customHeight="1">
      <c r="A534" s="436"/>
      <c r="B534" s="1094" t="s">
        <v>9</v>
      </c>
      <c r="C534" s="724"/>
      <c r="D534" s="367"/>
      <c r="E534" s="281" t="s">
        <v>838</v>
      </c>
      <c r="F534" s="368" t="s">
        <v>713</v>
      </c>
      <c r="G534" s="1319">
        <v>1</v>
      </c>
      <c r="H534" s="1320"/>
      <c r="I534" s="1321"/>
      <c r="J534" s="323">
        <v>1674</v>
      </c>
      <c r="K534" s="323"/>
      <c r="L534" s="1045"/>
      <c r="M534" s="68"/>
    </row>
    <row r="535" spans="1:13" ht="20.25" customHeight="1">
      <c r="A535" s="722"/>
      <c r="B535" s="470" t="s">
        <v>829</v>
      </c>
      <c r="C535" s="724"/>
      <c r="D535" s="367"/>
      <c r="E535" s="322" t="s">
        <v>838</v>
      </c>
      <c r="F535" s="583" t="s">
        <v>711</v>
      </c>
      <c r="G535" s="1289">
        <v>1150</v>
      </c>
      <c r="H535" s="1290"/>
      <c r="I535" s="1291"/>
      <c r="J535" s="323">
        <f>358737.17+161395.63</f>
        <v>520132.8</v>
      </c>
      <c r="K535" s="323"/>
      <c r="L535" s="1045"/>
      <c r="M535" s="68"/>
    </row>
    <row r="536" spans="1:13" ht="20.25" customHeight="1">
      <c r="A536" s="436"/>
      <c r="B536" s="469" t="s">
        <v>830</v>
      </c>
      <c r="C536" s="385"/>
      <c r="D536" s="280"/>
      <c r="E536" s="281" t="s">
        <v>17</v>
      </c>
      <c r="F536" s="368" t="s">
        <v>802</v>
      </c>
      <c r="G536" s="1289">
        <v>1</v>
      </c>
      <c r="H536" s="1290"/>
      <c r="I536" s="1291"/>
      <c r="J536" s="323">
        <v>9495</v>
      </c>
      <c r="K536" s="323"/>
      <c r="L536" s="1045"/>
      <c r="M536" s="68"/>
    </row>
    <row r="537" spans="1:13" ht="20.25" customHeight="1">
      <c r="A537" s="502" t="s">
        <v>513</v>
      </c>
      <c r="B537" s="469" t="s">
        <v>514</v>
      </c>
      <c r="C537" s="474"/>
      <c r="D537" s="474"/>
      <c r="E537" s="281"/>
      <c r="F537" s="1014" t="s">
        <v>711</v>
      </c>
      <c r="G537" s="1260">
        <f>G540</f>
        <v>2447</v>
      </c>
      <c r="H537" s="1411"/>
      <c r="I537" s="1412"/>
      <c r="J537" s="616">
        <f>J538+J539+J540+J541</f>
        <v>1084438.4</v>
      </c>
      <c r="K537" s="616"/>
      <c r="L537" s="782"/>
      <c r="M537" s="68"/>
    </row>
    <row r="538" spans="1:13" ht="20.25" customHeight="1">
      <c r="A538" s="508"/>
      <c r="B538" s="487" t="s">
        <v>892</v>
      </c>
      <c r="C538" s="385"/>
      <c r="D538" s="280"/>
      <c r="E538" s="281" t="s">
        <v>838</v>
      </c>
      <c r="F538" s="282" t="s">
        <v>713</v>
      </c>
      <c r="G538" s="1307">
        <v>1</v>
      </c>
      <c r="H538" s="1307"/>
      <c r="I538" s="1307"/>
      <c r="J538" s="272">
        <v>7214.4</v>
      </c>
      <c r="K538" s="272"/>
      <c r="L538" s="782"/>
      <c r="M538" s="68"/>
    </row>
    <row r="539" spans="1:13" ht="20.25" customHeight="1">
      <c r="A539" s="436"/>
      <c r="B539" s="1094" t="s">
        <v>9</v>
      </c>
      <c r="C539" s="724"/>
      <c r="D539" s="367"/>
      <c r="E539" s="281" t="s">
        <v>838</v>
      </c>
      <c r="F539" s="368" t="s">
        <v>713</v>
      </c>
      <c r="G539" s="1319">
        <v>1</v>
      </c>
      <c r="H539" s="1320"/>
      <c r="I539" s="1321"/>
      <c r="J539" s="323">
        <v>2790</v>
      </c>
      <c r="K539" s="323"/>
      <c r="L539" s="782"/>
      <c r="M539" s="68"/>
    </row>
    <row r="540" spans="1:13" ht="20.25" customHeight="1">
      <c r="A540" s="722"/>
      <c r="B540" s="470" t="s">
        <v>829</v>
      </c>
      <c r="C540" s="724"/>
      <c r="D540" s="367"/>
      <c r="E540" s="322" t="s">
        <v>838</v>
      </c>
      <c r="F540" s="583" t="s">
        <v>711</v>
      </c>
      <c r="G540" s="1408">
        <v>2447</v>
      </c>
      <c r="H540" s="1409"/>
      <c r="I540" s="1410"/>
      <c r="J540" s="323">
        <f>751523.04+303630.96</f>
        <v>1055154</v>
      </c>
      <c r="K540" s="323"/>
      <c r="L540" s="782"/>
      <c r="M540" s="68"/>
    </row>
    <row r="541" spans="1:13" ht="20.25" customHeight="1">
      <c r="A541" s="436"/>
      <c r="B541" s="469" t="s">
        <v>830</v>
      </c>
      <c r="C541" s="385"/>
      <c r="D541" s="280"/>
      <c r="E541" s="281" t="s">
        <v>17</v>
      </c>
      <c r="F541" s="368" t="s">
        <v>802</v>
      </c>
      <c r="G541" s="1289">
        <v>1</v>
      </c>
      <c r="H541" s="1290"/>
      <c r="I541" s="1291"/>
      <c r="J541" s="323">
        <v>19280</v>
      </c>
      <c r="K541" s="323"/>
      <c r="L541" s="782"/>
      <c r="M541" s="68"/>
    </row>
    <row r="542" spans="1:13" ht="23.25" customHeight="1">
      <c r="A542" s="502" t="s">
        <v>515</v>
      </c>
      <c r="B542" s="469" t="s">
        <v>516</v>
      </c>
      <c r="C542" s="474"/>
      <c r="D542" s="474"/>
      <c r="E542" s="281"/>
      <c r="F542" s="1014" t="s">
        <v>711</v>
      </c>
      <c r="G542" s="1405">
        <v>2470</v>
      </c>
      <c r="H542" s="1406"/>
      <c r="I542" s="1407"/>
      <c r="J542" s="616">
        <f>J543+J544+J545+J546</f>
        <v>1152002.8</v>
      </c>
      <c r="K542" s="616"/>
      <c r="L542" s="782"/>
      <c r="M542" s="68"/>
    </row>
    <row r="543" spans="1:13" ht="20.25" customHeight="1">
      <c r="A543" s="508"/>
      <c r="B543" s="487" t="s">
        <v>892</v>
      </c>
      <c r="C543" s="385"/>
      <c r="D543" s="280"/>
      <c r="E543" s="281" t="s">
        <v>838</v>
      </c>
      <c r="F543" s="282" t="s">
        <v>713</v>
      </c>
      <c r="G543" s="1307">
        <v>1</v>
      </c>
      <c r="H543" s="1307"/>
      <c r="I543" s="1307"/>
      <c r="J543" s="272">
        <v>7299.6</v>
      </c>
      <c r="K543" s="272"/>
      <c r="L543" s="782"/>
      <c r="M543" s="68"/>
    </row>
    <row r="544" spans="1:13" ht="20.25" customHeight="1">
      <c r="A544" s="436"/>
      <c r="B544" s="1094" t="s">
        <v>829</v>
      </c>
      <c r="C544" s="724"/>
      <c r="D544" s="367"/>
      <c r="E544" s="281" t="s">
        <v>838</v>
      </c>
      <c r="F544" s="583" t="s">
        <v>711</v>
      </c>
      <c r="G544" s="1408">
        <v>2470</v>
      </c>
      <c r="H544" s="1409"/>
      <c r="I544" s="1410"/>
      <c r="J544" s="323">
        <v>1121143.2</v>
      </c>
      <c r="K544" s="323"/>
      <c r="L544" s="782"/>
      <c r="M544" s="68"/>
    </row>
    <row r="545" spans="1:13" ht="20.25" customHeight="1">
      <c r="A545" s="722"/>
      <c r="B545" s="1094" t="s">
        <v>9</v>
      </c>
      <c r="C545" s="724"/>
      <c r="D545" s="367"/>
      <c r="E545" s="281" t="s">
        <v>838</v>
      </c>
      <c r="F545" s="583"/>
      <c r="G545" s="1319">
        <v>1</v>
      </c>
      <c r="H545" s="1320"/>
      <c r="I545" s="1321"/>
      <c r="J545" s="323">
        <v>2790</v>
      </c>
      <c r="K545" s="323"/>
      <c r="L545" s="782"/>
      <c r="M545" s="68"/>
    </row>
    <row r="546" spans="1:13" ht="20.25" customHeight="1">
      <c r="A546" s="436"/>
      <c r="B546" s="469" t="s">
        <v>830</v>
      </c>
      <c r="C546" s="385"/>
      <c r="D546" s="280"/>
      <c r="E546" s="281" t="s">
        <v>17</v>
      </c>
      <c r="F546" s="368" t="s">
        <v>802</v>
      </c>
      <c r="G546" s="1289">
        <v>1</v>
      </c>
      <c r="H546" s="1290"/>
      <c r="I546" s="1291"/>
      <c r="J546" s="323">
        <v>20770</v>
      </c>
      <c r="K546" s="323"/>
      <c r="L546" s="782"/>
      <c r="M546" s="68"/>
    </row>
    <row r="547" spans="1:13" ht="23.25" customHeight="1">
      <c r="A547" s="502" t="s">
        <v>521</v>
      </c>
      <c r="B547" s="469" t="s">
        <v>522</v>
      </c>
      <c r="C547" s="474"/>
      <c r="D547" s="474"/>
      <c r="E547" s="281"/>
      <c r="F547" s="1014" t="s">
        <v>711</v>
      </c>
      <c r="G547" s="1233">
        <f>G549</f>
        <v>2701</v>
      </c>
      <c r="H547" s="1261"/>
      <c r="I547" s="1262"/>
      <c r="J547" s="616">
        <f>J548+J549+J550+J551</f>
        <v>1297845</v>
      </c>
      <c r="K547" s="616"/>
      <c r="L547" s="782"/>
      <c r="M547" s="68"/>
    </row>
    <row r="548" spans="1:13" ht="20.25" customHeight="1">
      <c r="A548" s="508"/>
      <c r="B548" s="487" t="s">
        <v>892</v>
      </c>
      <c r="C548" s="385"/>
      <c r="D548" s="280"/>
      <c r="E548" s="281" t="s">
        <v>838</v>
      </c>
      <c r="F548" s="282" t="s">
        <v>713</v>
      </c>
      <c r="G548" s="1307">
        <v>1</v>
      </c>
      <c r="H548" s="1307"/>
      <c r="I548" s="1307"/>
      <c r="J548" s="272">
        <v>7465.2</v>
      </c>
      <c r="K548" s="272"/>
      <c r="L548" s="782"/>
      <c r="M548" s="68"/>
    </row>
    <row r="549" spans="1:13" ht="20.25" customHeight="1">
      <c r="A549" s="436"/>
      <c r="B549" s="470" t="s">
        <v>829</v>
      </c>
      <c r="C549" s="724"/>
      <c r="D549" s="367"/>
      <c r="E549" s="322" t="s">
        <v>838</v>
      </c>
      <c r="F549" s="583" t="s">
        <v>711</v>
      </c>
      <c r="G549" s="1408">
        <v>2701</v>
      </c>
      <c r="H549" s="1409"/>
      <c r="I549" s="1410"/>
      <c r="J549" s="316">
        <v>1264498.8</v>
      </c>
      <c r="K549" s="323"/>
      <c r="L549" s="782"/>
      <c r="M549" s="68"/>
    </row>
    <row r="550" spans="1:13" ht="20.25" customHeight="1">
      <c r="A550" s="722"/>
      <c r="B550" s="1094" t="s">
        <v>9</v>
      </c>
      <c r="C550" s="724"/>
      <c r="D550" s="367"/>
      <c r="E550" s="281" t="s">
        <v>838</v>
      </c>
      <c r="F550" s="368" t="s">
        <v>802</v>
      </c>
      <c r="G550" s="1307">
        <v>1</v>
      </c>
      <c r="H550" s="1307"/>
      <c r="I550" s="1307"/>
      <c r="J550" s="323">
        <v>2790</v>
      </c>
      <c r="K550" s="323"/>
      <c r="L550" s="782"/>
      <c r="M550" s="68"/>
    </row>
    <row r="551" spans="1:13" ht="20.25" customHeight="1">
      <c r="A551" s="436"/>
      <c r="B551" s="469" t="s">
        <v>830</v>
      </c>
      <c r="C551" s="724"/>
      <c r="D551" s="367"/>
      <c r="E551" s="281" t="s">
        <v>17</v>
      </c>
      <c r="F551" s="368" t="s">
        <v>802</v>
      </c>
      <c r="G551" s="1307">
        <v>1</v>
      </c>
      <c r="H551" s="1307"/>
      <c r="I551" s="1307"/>
      <c r="J551" s="323">
        <v>23091</v>
      </c>
      <c r="K551" s="323"/>
      <c r="L551" s="782"/>
      <c r="M551" s="68"/>
    </row>
    <row r="552" spans="1:13" ht="25.5" customHeight="1">
      <c r="A552" s="502" t="s">
        <v>523</v>
      </c>
      <c r="B552" s="469" t="s">
        <v>524</v>
      </c>
      <c r="C552" s="474"/>
      <c r="D552" s="474"/>
      <c r="E552" s="281"/>
      <c r="F552" s="1014" t="s">
        <v>711</v>
      </c>
      <c r="G552" s="1233">
        <f>G554</f>
        <v>1556</v>
      </c>
      <c r="H552" s="1261"/>
      <c r="I552" s="1262"/>
      <c r="J552" s="616">
        <f>J553+J554+J555+J556</f>
        <v>597551.2</v>
      </c>
      <c r="K552" s="616"/>
      <c r="L552" s="782"/>
      <c r="M552" s="68"/>
    </row>
    <row r="553" spans="1:13" ht="20.25" customHeight="1">
      <c r="A553" s="436"/>
      <c r="B553" s="487" t="s">
        <v>892</v>
      </c>
      <c r="C553" s="385"/>
      <c r="D553" s="280"/>
      <c r="E553" s="281" t="s">
        <v>838</v>
      </c>
      <c r="F553" s="282" t="s">
        <v>713</v>
      </c>
      <c r="G553" s="1307">
        <v>1</v>
      </c>
      <c r="H553" s="1307"/>
      <c r="I553" s="1307"/>
      <c r="J553" s="272">
        <v>6759.6</v>
      </c>
      <c r="K553" s="272"/>
      <c r="L553" s="782"/>
      <c r="M553" s="68"/>
    </row>
    <row r="554" spans="1:13" ht="20.25" customHeight="1">
      <c r="A554" s="629"/>
      <c r="B554" s="469" t="s">
        <v>829</v>
      </c>
      <c r="C554" s="385"/>
      <c r="D554" s="280"/>
      <c r="E554" s="281" t="s">
        <v>838</v>
      </c>
      <c r="F554" s="582" t="s">
        <v>711</v>
      </c>
      <c r="G554" s="1319">
        <v>1556</v>
      </c>
      <c r="H554" s="1320"/>
      <c r="I554" s="1321"/>
      <c r="J554" s="272">
        <v>578007.6</v>
      </c>
      <c r="K554" s="272"/>
      <c r="L554" s="782"/>
      <c r="M554" s="68"/>
    </row>
    <row r="555" spans="1:13" ht="20.25" customHeight="1">
      <c r="A555" s="629"/>
      <c r="B555" s="1094" t="s">
        <v>9</v>
      </c>
      <c r="C555" s="1132"/>
      <c r="D555" s="836"/>
      <c r="E555" s="281" t="s">
        <v>838</v>
      </c>
      <c r="F555" s="368" t="s">
        <v>802</v>
      </c>
      <c r="G555" s="1307">
        <v>1</v>
      </c>
      <c r="H555" s="1307"/>
      <c r="I555" s="1307"/>
      <c r="J555" s="332">
        <v>2232</v>
      </c>
      <c r="K555" s="332"/>
      <c r="L555" s="908"/>
      <c r="M555" s="68"/>
    </row>
    <row r="556" spans="1:13" ht="20.25" customHeight="1">
      <c r="A556" s="629"/>
      <c r="B556" s="469" t="s">
        <v>830</v>
      </c>
      <c r="C556" s="1132"/>
      <c r="D556" s="836"/>
      <c r="E556" s="281" t="s">
        <v>17</v>
      </c>
      <c r="F556" s="368" t="s">
        <v>802</v>
      </c>
      <c r="G556" s="1307">
        <v>1</v>
      </c>
      <c r="H556" s="1307"/>
      <c r="I556" s="1307"/>
      <c r="J556" s="332">
        <v>10552</v>
      </c>
      <c r="K556" s="332"/>
      <c r="L556" s="908"/>
      <c r="M556" s="68"/>
    </row>
    <row r="557" spans="1:13" ht="21.75" customHeight="1">
      <c r="A557" s="502" t="s">
        <v>656</v>
      </c>
      <c r="B557" s="859" t="s">
        <v>657</v>
      </c>
      <c r="C557" s="1106"/>
      <c r="D557" s="1106"/>
      <c r="E557" s="325"/>
      <c r="F557" s="1107" t="s">
        <v>711</v>
      </c>
      <c r="G557" s="1394">
        <f>G559</f>
        <v>1342</v>
      </c>
      <c r="H557" s="1395"/>
      <c r="I557" s="1396"/>
      <c r="J557" s="1108">
        <f>J558+J559+J560+J561</f>
        <v>612285.6</v>
      </c>
      <c r="K557" s="1108"/>
      <c r="L557" s="908"/>
      <c r="M557" s="323">
        <v>413534.52</v>
      </c>
    </row>
    <row r="558" spans="1:13" ht="20.25" customHeight="1">
      <c r="A558" s="508"/>
      <c r="B558" s="487" t="s">
        <v>892</v>
      </c>
      <c r="C558" s="385"/>
      <c r="D558" s="280"/>
      <c r="E558" s="281" t="s">
        <v>838</v>
      </c>
      <c r="F558" s="282" t="s">
        <v>713</v>
      </c>
      <c r="G558" s="1307">
        <v>1</v>
      </c>
      <c r="H558" s="1307"/>
      <c r="I558" s="1307"/>
      <c r="J558" s="272">
        <v>7357.2</v>
      </c>
      <c r="K558" s="272"/>
      <c r="L558" s="782"/>
      <c r="M558" s="323" t="s">
        <v>613</v>
      </c>
    </row>
    <row r="559" spans="1:13" ht="20.25" customHeight="1">
      <c r="A559" s="436"/>
      <c r="B559" s="470" t="s">
        <v>829</v>
      </c>
      <c r="C559" s="724"/>
      <c r="D559" s="367"/>
      <c r="E559" s="322" t="s">
        <v>838</v>
      </c>
      <c r="F559" s="583" t="s">
        <v>711</v>
      </c>
      <c r="G559" s="1408">
        <v>1342</v>
      </c>
      <c r="H559" s="1409"/>
      <c r="I559" s="1410"/>
      <c r="J559" s="323">
        <v>592263.6</v>
      </c>
      <c r="K559" s="323"/>
      <c r="L559" s="782"/>
      <c r="M559" s="68"/>
    </row>
    <row r="560" spans="1:13" ht="20.25" customHeight="1">
      <c r="A560" s="722"/>
      <c r="B560" s="1094" t="s">
        <v>9</v>
      </c>
      <c r="C560" s="724"/>
      <c r="D560" s="367"/>
      <c r="E560" s="281" t="s">
        <v>838</v>
      </c>
      <c r="F560" s="368" t="s">
        <v>802</v>
      </c>
      <c r="G560" s="1307">
        <v>1</v>
      </c>
      <c r="H560" s="1307"/>
      <c r="I560" s="1307"/>
      <c r="J560" s="323">
        <v>1846.8</v>
      </c>
      <c r="K560" s="323"/>
      <c r="L560" s="782"/>
      <c r="M560" s="68"/>
    </row>
    <row r="561" spans="1:13" ht="20.25" customHeight="1">
      <c r="A561" s="436"/>
      <c r="B561" s="469" t="s">
        <v>830</v>
      </c>
      <c r="C561" s="724"/>
      <c r="D561" s="367"/>
      <c r="E561" s="281" t="s">
        <v>17</v>
      </c>
      <c r="F561" s="368" t="s">
        <v>802</v>
      </c>
      <c r="G561" s="1307">
        <v>1</v>
      </c>
      <c r="H561" s="1307"/>
      <c r="I561" s="1307"/>
      <c r="J561" s="323">
        <v>10818</v>
      </c>
      <c r="K561" s="323"/>
      <c r="L561" s="782"/>
      <c r="M561" s="68"/>
    </row>
    <row r="562" spans="1:13" ht="24" customHeight="1">
      <c r="A562" s="502" t="s">
        <v>658</v>
      </c>
      <c r="B562" s="473" t="s">
        <v>610</v>
      </c>
      <c r="C562" s="474"/>
      <c r="D562" s="474"/>
      <c r="E562" s="281"/>
      <c r="F562" s="1014" t="s">
        <v>711</v>
      </c>
      <c r="G562" s="1474">
        <f>G564</f>
        <v>3319</v>
      </c>
      <c r="H562" s="1245"/>
      <c r="I562" s="1246"/>
      <c r="J562" s="616">
        <f>J563+J564+J565+J566</f>
        <v>1488783</v>
      </c>
      <c r="K562" s="616"/>
      <c r="L562" s="782"/>
      <c r="M562" s="68"/>
    </row>
    <row r="563" spans="1:13" ht="15.75" customHeight="1">
      <c r="A563" s="436"/>
      <c r="B563" s="487" t="s">
        <v>892</v>
      </c>
      <c r="C563" s="385"/>
      <c r="D563" s="280"/>
      <c r="E563" s="281" t="s">
        <v>838</v>
      </c>
      <c r="F563" s="282" t="s">
        <v>713</v>
      </c>
      <c r="G563" s="1307">
        <v>1</v>
      </c>
      <c r="H563" s="1307"/>
      <c r="I563" s="1307"/>
      <c r="J563" s="272">
        <v>8192.4</v>
      </c>
      <c r="K563" s="272"/>
      <c r="L563" s="782"/>
      <c r="M563" s="68"/>
    </row>
    <row r="564" spans="1:13" ht="14.25" customHeight="1">
      <c r="A564" s="508"/>
      <c r="B564" s="470" t="s">
        <v>829</v>
      </c>
      <c r="C564" s="724"/>
      <c r="D564" s="367"/>
      <c r="E564" s="322" t="s">
        <v>838</v>
      </c>
      <c r="F564" s="583" t="s">
        <v>711</v>
      </c>
      <c r="G564" s="1408">
        <v>3319</v>
      </c>
      <c r="H564" s="1409"/>
      <c r="I564" s="1410"/>
      <c r="J564" s="323">
        <v>1454295.6</v>
      </c>
      <c r="K564" s="323"/>
      <c r="L564" s="1095"/>
      <c r="M564" s="68"/>
    </row>
    <row r="565" spans="1:13" ht="15.75" customHeight="1">
      <c r="A565" s="508"/>
      <c r="B565" s="1094" t="s">
        <v>9</v>
      </c>
      <c r="C565" s="724"/>
      <c r="D565" s="367"/>
      <c r="E565" s="322" t="s">
        <v>838</v>
      </c>
      <c r="F565" s="368" t="s">
        <v>802</v>
      </c>
      <c r="G565" s="1307">
        <v>1</v>
      </c>
      <c r="H565" s="1307"/>
      <c r="I565" s="1307"/>
      <c r="J565" s="323">
        <v>0</v>
      </c>
      <c r="K565" s="323"/>
      <c r="L565" s="1095"/>
      <c r="M565" s="68"/>
    </row>
    <row r="566" spans="1:13" ht="14.25" customHeight="1">
      <c r="A566" s="508"/>
      <c r="B566" s="469" t="s">
        <v>830</v>
      </c>
      <c r="C566" s="724"/>
      <c r="D566" s="367"/>
      <c r="E566" s="281" t="s">
        <v>17</v>
      </c>
      <c r="F566" s="368" t="s">
        <v>802</v>
      </c>
      <c r="G566" s="1307">
        <v>1</v>
      </c>
      <c r="H566" s="1307"/>
      <c r="I566" s="1307"/>
      <c r="J566" s="323">
        <v>26295</v>
      </c>
      <c r="K566" s="323"/>
      <c r="L566" s="1095"/>
      <c r="M566" s="68"/>
    </row>
    <row r="567" spans="1:13" ht="20.25" customHeight="1">
      <c r="A567" s="370" t="s">
        <v>666</v>
      </c>
      <c r="B567" s="473" t="s">
        <v>611</v>
      </c>
      <c r="C567" s="474"/>
      <c r="D567" s="474"/>
      <c r="E567" s="281"/>
      <c r="F567" s="1014" t="s">
        <v>711</v>
      </c>
      <c r="G567" s="1474">
        <f>G569</f>
        <v>2000</v>
      </c>
      <c r="H567" s="1245"/>
      <c r="I567" s="1246"/>
      <c r="J567" s="616">
        <f>J568+J569+J570+J571</f>
        <v>919533.6</v>
      </c>
      <c r="K567" s="616"/>
      <c r="L567" s="782"/>
      <c r="M567" s="68"/>
    </row>
    <row r="568" spans="1:13" ht="20.25" customHeight="1">
      <c r="A568" s="508"/>
      <c r="B568" s="487" t="s">
        <v>892</v>
      </c>
      <c r="C568" s="385"/>
      <c r="D568" s="280"/>
      <c r="E568" s="281" t="s">
        <v>838</v>
      </c>
      <c r="F568" s="282" t="s">
        <v>713</v>
      </c>
      <c r="G568" s="1307">
        <v>1</v>
      </c>
      <c r="H568" s="1307"/>
      <c r="I568" s="1307"/>
      <c r="J568" s="272">
        <v>7407.6</v>
      </c>
      <c r="K568" s="272"/>
      <c r="L568" s="782"/>
      <c r="M568" s="68"/>
    </row>
    <row r="569" spans="1:13" ht="20.25" customHeight="1">
      <c r="A569" s="436"/>
      <c r="B569" s="470" t="s">
        <v>829</v>
      </c>
      <c r="C569" s="724"/>
      <c r="D569" s="367"/>
      <c r="E569" s="322" t="s">
        <v>838</v>
      </c>
      <c r="F569" s="583" t="s">
        <v>711</v>
      </c>
      <c r="G569" s="1408">
        <v>2000</v>
      </c>
      <c r="H569" s="1409"/>
      <c r="I569" s="1410"/>
      <c r="J569" s="316">
        <v>892746</v>
      </c>
      <c r="K569" s="272"/>
      <c r="L569" s="782"/>
      <c r="M569" s="68"/>
    </row>
    <row r="570" spans="1:13" ht="17.25" customHeight="1">
      <c r="A570" s="722"/>
      <c r="B570" s="1094" t="s">
        <v>9</v>
      </c>
      <c r="C570" s="724"/>
      <c r="D570" s="367"/>
      <c r="E570" s="281" t="s">
        <v>838</v>
      </c>
      <c r="F570" s="368" t="s">
        <v>802</v>
      </c>
      <c r="G570" s="1307">
        <v>1</v>
      </c>
      <c r="H570" s="1307"/>
      <c r="I570" s="1307"/>
      <c r="J570" s="272">
        <v>3078</v>
      </c>
      <c r="K570" s="272"/>
      <c r="L570" s="782"/>
      <c r="M570" s="68"/>
    </row>
    <row r="571" spans="1:13" ht="15" customHeight="1">
      <c r="A571" s="436"/>
      <c r="B571" s="469" t="s">
        <v>830</v>
      </c>
      <c r="C571" s="724"/>
      <c r="D571" s="367"/>
      <c r="E571" s="281" t="s">
        <v>17</v>
      </c>
      <c r="F571" s="368" t="s">
        <v>802</v>
      </c>
      <c r="G571" s="1307">
        <v>1</v>
      </c>
      <c r="H571" s="1307"/>
      <c r="I571" s="1307"/>
      <c r="J571" s="272">
        <v>16302</v>
      </c>
      <c r="K571" s="272"/>
      <c r="L571" s="782"/>
      <c r="M571" s="68"/>
    </row>
    <row r="572" spans="1:13" ht="15.75" customHeight="1">
      <c r="A572" s="502" t="s">
        <v>614</v>
      </c>
      <c r="B572" s="473" t="s">
        <v>612</v>
      </c>
      <c r="C572" s="474"/>
      <c r="D572" s="474"/>
      <c r="E572" s="281"/>
      <c r="F572" s="1014" t="s">
        <v>711</v>
      </c>
      <c r="G572" s="1474">
        <v>1830</v>
      </c>
      <c r="H572" s="1245"/>
      <c r="I572" s="1246"/>
      <c r="J572" s="616">
        <f>J573+J574+J575+J576</f>
        <v>1024838.77</v>
      </c>
      <c r="K572" s="616"/>
      <c r="L572" s="782"/>
      <c r="M572" s="68"/>
    </row>
    <row r="573" spans="1:13" ht="15.75" customHeight="1">
      <c r="A573" s="436"/>
      <c r="B573" s="487" t="s">
        <v>892</v>
      </c>
      <c r="C573" s="385"/>
      <c r="D573" s="280"/>
      <c r="E573" s="281" t="s">
        <v>838</v>
      </c>
      <c r="F573" s="282" t="s">
        <v>713</v>
      </c>
      <c r="G573" s="1307">
        <v>1</v>
      </c>
      <c r="H573" s="1307"/>
      <c r="I573" s="1307"/>
      <c r="J573" s="272">
        <v>7570.8</v>
      </c>
      <c r="K573" s="272"/>
      <c r="L573" s="782"/>
      <c r="M573" s="68"/>
    </row>
    <row r="574" spans="1:47" ht="15.75" customHeight="1">
      <c r="A574" s="722"/>
      <c r="B574" s="470" t="s">
        <v>829</v>
      </c>
      <c r="C574" s="1124"/>
      <c r="D574" s="314"/>
      <c r="E574" s="281" t="s">
        <v>582</v>
      </c>
      <c r="F574" s="583" t="s">
        <v>711</v>
      </c>
      <c r="G574" s="1319">
        <v>1830</v>
      </c>
      <c r="H574" s="1320"/>
      <c r="I574" s="1321"/>
      <c r="J574" s="316">
        <v>994575.97</v>
      </c>
      <c r="K574" s="316"/>
      <c r="L574" s="1045"/>
      <c r="M574" s="68"/>
      <c r="N574" s="1102"/>
      <c r="O574" s="1102"/>
      <c r="P574" s="1102"/>
      <c r="Q574" s="1102"/>
      <c r="R574" s="1102"/>
      <c r="S574" s="1102"/>
      <c r="T574" s="1102"/>
      <c r="U574" s="1102"/>
      <c r="V574" s="1102"/>
      <c r="W574" s="1102"/>
      <c r="X574" s="1102"/>
      <c r="Y574" s="1102"/>
      <c r="Z574" s="1102"/>
      <c r="AA574" s="1102"/>
      <c r="AB574" s="1102"/>
      <c r="AC574" s="1102"/>
      <c r="AD574" s="1102"/>
      <c r="AE574" s="1102"/>
      <c r="AF574" s="1102"/>
      <c r="AG574" s="1102"/>
      <c r="AH574" s="1102"/>
      <c r="AI574" s="1102"/>
      <c r="AJ574" s="1102"/>
      <c r="AK574" s="1102"/>
      <c r="AL574" s="1102"/>
      <c r="AM574" s="1102"/>
      <c r="AN574" s="1102"/>
      <c r="AO574" s="1102"/>
      <c r="AP574" s="1102"/>
      <c r="AQ574" s="1102"/>
      <c r="AR574" s="1102"/>
      <c r="AS574" s="1102"/>
      <c r="AT574" s="1102"/>
      <c r="AU574" s="1102"/>
    </row>
    <row r="575" spans="1:47" s="1102" customFormat="1" ht="16.5" customHeight="1">
      <c r="A575" s="436"/>
      <c r="B575" s="1094" t="s">
        <v>9</v>
      </c>
      <c r="C575" s="385"/>
      <c r="D575" s="280"/>
      <c r="E575" s="281" t="s">
        <v>17</v>
      </c>
      <c r="F575" s="368" t="s">
        <v>802</v>
      </c>
      <c r="G575" s="1307">
        <v>1</v>
      </c>
      <c r="H575" s="1307"/>
      <c r="I575" s="1307"/>
      <c r="J575" s="272">
        <v>3078</v>
      </c>
      <c r="K575" s="272"/>
      <c r="L575" s="782"/>
      <c r="M575" s="1133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:13" ht="15.75" customHeight="1">
      <c r="A576" s="436"/>
      <c r="B576" s="469" t="s">
        <v>830</v>
      </c>
      <c r="C576" s="385"/>
      <c r="D576" s="280"/>
      <c r="E576" s="281" t="s">
        <v>17</v>
      </c>
      <c r="F576" s="368" t="s">
        <v>802</v>
      </c>
      <c r="G576" s="1307">
        <v>1</v>
      </c>
      <c r="H576" s="1307"/>
      <c r="I576" s="1307"/>
      <c r="J576" s="272">
        <v>19614</v>
      </c>
      <c r="K576" s="272"/>
      <c r="L576" s="1045"/>
      <c r="M576" s="68"/>
    </row>
    <row r="577" spans="1:13" ht="15" customHeight="1">
      <c r="A577" s="722" t="s">
        <v>590</v>
      </c>
      <c r="B577" s="1125" t="s">
        <v>589</v>
      </c>
      <c r="C577" s="1124"/>
      <c r="D577" s="314"/>
      <c r="E577" s="315"/>
      <c r="F577" s="1107" t="s">
        <v>711</v>
      </c>
      <c r="G577" s="1319">
        <v>1656</v>
      </c>
      <c r="H577" s="1320"/>
      <c r="I577" s="1321"/>
      <c r="J577" s="498">
        <f>J578+J579+J580+J581</f>
        <v>758347.62</v>
      </c>
      <c r="K577" s="316"/>
      <c r="L577" s="1045"/>
      <c r="M577" s="68"/>
    </row>
    <row r="578" spans="1:13" ht="15.75" customHeight="1">
      <c r="A578" s="436"/>
      <c r="B578" s="487" t="s">
        <v>892</v>
      </c>
      <c r="C578" s="385"/>
      <c r="D578" s="280"/>
      <c r="E578" s="281" t="s">
        <v>838</v>
      </c>
      <c r="F578" s="282" t="s">
        <v>713</v>
      </c>
      <c r="G578" s="1307">
        <v>1</v>
      </c>
      <c r="H578" s="1307"/>
      <c r="I578" s="1307"/>
      <c r="J578" s="272">
        <v>7387.2</v>
      </c>
      <c r="K578" s="272"/>
      <c r="L578" s="1045"/>
      <c r="M578" s="68"/>
    </row>
    <row r="579" spans="1:13" ht="15.75" customHeight="1">
      <c r="A579" s="722"/>
      <c r="B579" s="469" t="s">
        <v>829</v>
      </c>
      <c r="C579" s="385"/>
      <c r="D579" s="280"/>
      <c r="E579" s="281" t="s">
        <v>582</v>
      </c>
      <c r="F579" s="583" t="s">
        <v>711</v>
      </c>
      <c r="G579" s="1319">
        <v>1656</v>
      </c>
      <c r="H579" s="1320"/>
      <c r="I579" s="1321"/>
      <c r="J579" s="272">
        <v>732420.12</v>
      </c>
      <c r="K579" s="272"/>
      <c r="L579" s="1045"/>
      <c r="M579" s="68"/>
    </row>
    <row r="580" spans="1:13" ht="15.75" customHeight="1">
      <c r="A580" s="436"/>
      <c r="B580" s="1094" t="s">
        <v>9</v>
      </c>
      <c r="C580" s="1124"/>
      <c r="D580" s="314"/>
      <c r="E580" s="281" t="s">
        <v>838</v>
      </c>
      <c r="F580" s="368" t="s">
        <v>802</v>
      </c>
      <c r="G580" s="1307">
        <v>1</v>
      </c>
      <c r="H580" s="1307"/>
      <c r="I580" s="1307"/>
      <c r="J580" s="316">
        <v>3078</v>
      </c>
      <c r="K580" s="316"/>
      <c r="L580" s="1045"/>
      <c r="M580" s="68"/>
    </row>
    <row r="581" spans="1:13" ht="16.5" customHeight="1">
      <c r="A581" s="436"/>
      <c r="B581" s="469" t="s">
        <v>830</v>
      </c>
      <c r="C581" s="385"/>
      <c r="D581" s="280"/>
      <c r="E581" s="281" t="s">
        <v>17</v>
      </c>
      <c r="F581" s="368" t="s">
        <v>802</v>
      </c>
      <c r="G581" s="1307">
        <v>1</v>
      </c>
      <c r="H581" s="1307"/>
      <c r="I581" s="1307"/>
      <c r="J581" s="272">
        <v>15462.3</v>
      </c>
      <c r="K581" s="272"/>
      <c r="L581" s="1045"/>
      <c r="M581" s="68"/>
    </row>
    <row r="582" spans="1:13" ht="15" customHeight="1">
      <c r="A582" s="722" t="s">
        <v>615</v>
      </c>
      <c r="B582" s="1125" t="s">
        <v>591</v>
      </c>
      <c r="C582" s="1124"/>
      <c r="D582" s="314"/>
      <c r="E582" s="315"/>
      <c r="F582" s="1014" t="s">
        <v>711</v>
      </c>
      <c r="G582" s="1319">
        <v>0</v>
      </c>
      <c r="H582" s="1320"/>
      <c r="I582" s="1321"/>
      <c r="J582" s="498">
        <f>J583+J584+J585+J586</f>
        <v>248007.14999999997</v>
      </c>
      <c r="K582" s="316"/>
      <c r="L582" s="1045"/>
      <c r="M582" s="68"/>
    </row>
    <row r="583" spans="1:13" ht="15" customHeight="1">
      <c r="A583" s="436"/>
      <c r="B583" s="487" t="s">
        <v>892</v>
      </c>
      <c r="C583" s="385"/>
      <c r="D583" s="280"/>
      <c r="E583" s="322" t="s">
        <v>838</v>
      </c>
      <c r="F583" s="282" t="s">
        <v>713</v>
      </c>
      <c r="G583" s="1289">
        <v>1</v>
      </c>
      <c r="H583" s="1290"/>
      <c r="I583" s="1291"/>
      <c r="J583" s="272">
        <v>7566</v>
      </c>
      <c r="K583" s="272"/>
      <c r="L583" s="1045"/>
      <c r="M583" s="68"/>
    </row>
    <row r="584" spans="1:13" ht="12.75" customHeight="1">
      <c r="A584" s="436"/>
      <c r="B584" s="470" t="s">
        <v>829</v>
      </c>
      <c r="C584" s="724"/>
      <c r="D584" s="367"/>
      <c r="E584" s="322" t="s">
        <v>838</v>
      </c>
      <c r="F584" s="583" t="s">
        <v>711</v>
      </c>
      <c r="G584" s="1408" t="s">
        <v>609</v>
      </c>
      <c r="H584" s="1409"/>
      <c r="I584" s="1410"/>
      <c r="J584" s="316">
        <f>657785.7-421858.5</f>
        <v>235927.19999999995</v>
      </c>
      <c r="K584" s="316"/>
      <c r="L584" s="1045"/>
      <c r="M584" s="68"/>
    </row>
    <row r="585" spans="1:13" ht="17.25" customHeight="1">
      <c r="A585" s="722"/>
      <c r="B585" s="1094" t="s">
        <v>9</v>
      </c>
      <c r="C585" s="724"/>
      <c r="D585" s="367"/>
      <c r="E585" s="322" t="s">
        <v>838</v>
      </c>
      <c r="F585" s="368" t="s">
        <v>802</v>
      </c>
      <c r="G585" s="1289">
        <v>1</v>
      </c>
      <c r="H585" s="1290"/>
      <c r="I585" s="1291"/>
      <c r="J585" s="272">
        <v>0</v>
      </c>
      <c r="K585" s="272"/>
      <c r="L585" s="1045"/>
      <c r="M585" s="68"/>
    </row>
    <row r="586" spans="1:13" ht="16.5" customHeight="1">
      <c r="A586" s="436"/>
      <c r="B586" s="469" t="s">
        <v>830</v>
      </c>
      <c r="C586" s="724"/>
      <c r="D586" s="367"/>
      <c r="E586" s="281" t="s">
        <v>17</v>
      </c>
      <c r="F586" s="368" t="s">
        <v>802</v>
      </c>
      <c r="G586" s="1289">
        <v>1</v>
      </c>
      <c r="H586" s="1290"/>
      <c r="I586" s="1291"/>
      <c r="J586" s="316">
        <v>4513.95</v>
      </c>
      <c r="K586" s="316"/>
      <c r="L586" s="1045"/>
      <c r="M586" s="68"/>
    </row>
    <row r="587" spans="1:13" ht="26.25" customHeight="1">
      <c r="A587" s="436" t="s">
        <v>592</v>
      </c>
      <c r="B587" s="1127" t="s">
        <v>593</v>
      </c>
      <c r="C587" s="385"/>
      <c r="D587" s="280"/>
      <c r="E587" s="281"/>
      <c r="F587" s="1014" t="s">
        <v>711</v>
      </c>
      <c r="G587" s="1319">
        <f>G589</f>
        <v>2118</v>
      </c>
      <c r="H587" s="1320"/>
      <c r="I587" s="1321"/>
      <c r="J587" s="360">
        <f>J588+J589+J590+J591</f>
        <v>1012983.46</v>
      </c>
      <c r="K587" s="272"/>
      <c r="L587" s="1045"/>
      <c r="M587" s="68"/>
    </row>
    <row r="588" spans="1:13" ht="16.5" customHeight="1">
      <c r="A588" s="722"/>
      <c r="B588" s="487" t="s">
        <v>892</v>
      </c>
      <c r="C588" s="1124"/>
      <c r="D588" s="314"/>
      <c r="E588" s="315" t="s">
        <v>594</v>
      </c>
      <c r="F588" s="282" t="s">
        <v>713</v>
      </c>
      <c r="G588" s="1289">
        <v>1</v>
      </c>
      <c r="H588" s="1290"/>
      <c r="I588" s="1291"/>
      <c r="J588" s="316">
        <v>6872.1</v>
      </c>
      <c r="K588" s="316"/>
      <c r="L588" s="1045"/>
      <c r="M588" s="68"/>
    </row>
    <row r="589" spans="1:13" ht="16.5" customHeight="1">
      <c r="A589" s="436"/>
      <c r="B589" s="470" t="s">
        <v>829</v>
      </c>
      <c r="C589" s="385"/>
      <c r="D589" s="280"/>
      <c r="E589" s="281" t="s">
        <v>582</v>
      </c>
      <c r="F589" s="583" t="s">
        <v>711</v>
      </c>
      <c r="G589" s="1319">
        <v>2118</v>
      </c>
      <c r="H589" s="1320"/>
      <c r="I589" s="1321"/>
      <c r="J589" s="272">
        <v>985473.11</v>
      </c>
      <c r="K589" s="272"/>
      <c r="L589" s="1045"/>
      <c r="M589" s="68"/>
    </row>
    <row r="590" spans="1:13" ht="16.5" customHeight="1">
      <c r="A590" s="722"/>
      <c r="B590" s="1094" t="s">
        <v>9</v>
      </c>
      <c r="C590" s="1124"/>
      <c r="D590" s="314"/>
      <c r="E590" s="315" t="s">
        <v>594</v>
      </c>
      <c r="F590" s="368" t="s">
        <v>802</v>
      </c>
      <c r="G590" s="1289">
        <v>1</v>
      </c>
      <c r="H590" s="1290"/>
      <c r="I590" s="1291"/>
      <c r="J590" s="316">
        <v>2693.25</v>
      </c>
      <c r="K590" s="316"/>
      <c r="L590" s="1045"/>
      <c r="M590" s="68"/>
    </row>
    <row r="591" spans="1:13" ht="13.5" customHeight="1">
      <c r="A591" s="436"/>
      <c r="B591" s="469" t="s">
        <v>830</v>
      </c>
      <c r="C591" s="385"/>
      <c r="D591" s="280"/>
      <c r="E591" s="281" t="s">
        <v>17</v>
      </c>
      <c r="F591" s="368" t="s">
        <v>802</v>
      </c>
      <c r="G591" s="1289">
        <v>1</v>
      </c>
      <c r="H591" s="1290"/>
      <c r="I591" s="1291"/>
      <c r="J591" s="272">
        <v>17945</v>
      </c>
      <c r="K591" s="272"/>
      <c r="L591" s="1045"/>
      <c r="M591" s="68"/>
    </row>
    <row r="592" spans="1:13" ht="20.25" customHeight="1">
      <c r="A592" s="722" t="s">
        <v>595</v>
      </c>
      <c r="B592" s="1123" t="s">
        <v>596</v>
      </c>
      <c r="C592" s="1124"/>
      <c r="D592" s="314"/>
      <c r="E592" s="315"/>
      <c r="F592" s="1014" t="s">
        <v>711</v>
      </c>
      <c r="G592" s="1323">
        <f>G594</f>
        <v>885</v>
      </c>
      <c r="H592" s="1324"/>
      <c r="I592" s="1325"/>
      <c r="J592" s="360">
        <f>J593+J594+J595+J596</f>
        <v>393977.92</v>
      </c>
      <c r="K592" s="316"/>
      <c r="L592" s="1045"/>
      <c r="M592" s="68"/>
    </row>
    <row r="593" spans="1:13" ht="16.5" customHeight="1">
      <c r="A593" s="436"/>
      <c r="B593" s="487" t="s">
        <v>892</v>
      </c>
      <c r="C593" s="385"/>
      <c r="D593" s="280"/>
      <c r="E593" s="281" t="s">
        <v>594</v>
      </c>
      <c r="F593" s="282" t="s">
        <v>713</v>
      </c>
      <c r="G593" s="1289">
        <v>1</v>
      </c>
      <c r="H593" s="1290"/>
      <c r="I593" s="1291"/>
      <c r="J593" s="272">
        <v>6617.7</v>
      </c>
      <c r="K593" s="272"/>
      <c r="L593" s="1045"/>
      <c r="M593" s="68"/>
    </row>
    <row r="594" spans="1:13" ht="14.25" customHeight="1">
      <c r="A594" s="722"/>
      <c r="B594" s="470" t="s">
        <v>829</v>
      </c>
      <c r="C594" s="1124"/>
      <c r="D594" s="314"/>
      <c r="E594" s="281" t="s">
        <v>582</v>
      </c>
      <c r="F594" s="583" t="s">
        <v>711</v>
      </c>
      <c r="G594" s="1319">
        <v>885</v>
      </c>
      <c r="H594" s="1320"/>
      <c r="I594" s="1321"/>
      <c r="J594" s="316">
        <v>378986.47</v>
      </c>
      <c r="K594" s="316"/>
      <c r="L594" s="1045"/>
      <c r="M594" s="68"/>
    </row>
    <row r="595" spans="1:13" ht="15" customHeight="1">
      <c r="A595" s="436"/>
      <c r="B595" s="1094" t="s">
        <v>9</v>
      </c>
      <c r="C595" s="385"/>
      <c r="D595" s="280"/>
      <c r="E595" s="281" t="s">
        <v>594</v>
      </c>
      <c r="F595" s="368" t="s">
        <v>802</v>
      </c>
      <c r="G595" s="1289">
        <v>1</v>
      </c>
      <c r="H595" s="1290"/>
      <c r="I595" s="1291"/>
      <c r="J595" s="272">
        <v>1077.3</v>
      </c>
      <c r="K595" s="272"/>
      <c r="L595" s="1045"/>
      <c r="M595" s="68"/>
    </row>
    <row r="596" spans="1:13" ht="15" customHeight="1">
      <c r="A596" s="436"/>
      <c r="B596" s="469" t="s">
        <v>830</v>
      </c>
      <c r="C596" s="1124"/>
      <c r="D596" s="314"/>
      <c r="E596" s="315"/>
      <c r="F596" s="282" t="s">
        <v>802</v>
      </c>
      <c r="G596" s="1319">
        <v>1</v>
      </c>
      <c r="H596" s="1320"/>
      <c r="I596" s="1321"/>
      <c r="J596" s="272">
        <v>7296.45</v>
      </c>
      <c r="K596" s="316"/>
      <c r="L596" s="1045"/>
      <c r="M596" s="68"/>
    </row>
    <row r="597" spans="1:13" ht="20.25" customHeight="1">
      <c r="A597" s="722" t="s">
        <v>597</v>
      </c>
      <c r="B597" s="1123" t="s">
        <v>598</v>
      </c>
      <c r="C597" s="385"/>
      <c r="D597" s="280"/>
      <c r="E597" s="281"/>
      <c r="F597" s="1107" t="s">
        <v>711</v>
      </c>
      <c r="G597" s="1289">
        <v>1015</v>
      </c>
      <c r="H597" s="1290"/>
      <c r="I597" s="1291"/>
      <c r="J597" s="1042">
        <f>J598+J599+J600+J601</f>
        <v>482379.75</v>
      </c>
      <c r="K597" s="272"/>
      <c r="L597" s="1045"/>
      <c r="M597" s="68"/>
    </row>
    <row r="598" spans="1:13" ht="16.5" customHeight="1">
      <c r="A598" s="436"/>
      <c r="B598" s="487" t="s">
        <v>892</v>
      </c>
      <c r="C598" s="1132"/>
      <c r="D598" s="836"/>
      <c r="E598" s="315" t="s">
        <v>594</v>
      </c>
      <c r="F598" s="282" t="s">
        <v>713</v>
      </c>
      <c r="G598" s="1289">
        <v>1</v>
      </c>
      <c r="H598" s="1290"/>
      <c r="I598" s="1291"/>
      <c r="J598" s="332">
        <v>6617.7</v>
      </c>
      <c r="K598" s="332"/>
      <c r="L598" s="1045"/>
      <c r="M598" s="68"/>
    </row>
    <row r="599" spans="1:13" ht="17.25" customHeight="1">
      <c r="A599" s="436"/>
      <c r="B599" s="470" t="s">
        <v>829</v>
      </c>
      <c r="C599" s="1132"/>
      <c r="D599" s="836"/>
      <c r="E599" s="322" t="s">
        <v>838</v>
      </c>
      <c r="F599" s="583" t="s">
        <v>711</v>
      </c>
      <c r="G599" s="1319">
        <v>1015</v>
      </c>
      <c r="H599" s="1320"/>
      <c r="I599" s="1321"/>
      <c r="J599" s="332">
        <v>465836.4</v>
      </c>
      <c r="K599" s="332"/>
      <c r="L599" s="1045"/>
      <c r="M599" s="68"/>
    </row>
    <row r="600" spans="1:13" ht="15" customHeight="1">
      <c r="A600" s="436"/>
      <c r="B600" s="1094" t="s">
        <v>9</v>
      </c>
      <c r="C600" s="1132"/>
      <c r="D600" s="836"/>
      <c r="E600" s="281" t="s">
        <v>594</v>
      </c>
      <c r="F600" s="368" t="s">
        <v>802</v>
      </c>
      <c r="G600" s="1289">
        <v>1</v>
      </c>
      <c r="H600" s="1290"/>
      <c r="I600" s="1291"/>
      <c r="J600" s="332">
        <v>1077.3</v>
      </c>
      <c r="K600" s="332"/>
      <c r="L600" s="1045"/>
      <c r="M600" s="68"/>
    </row>
    <row r="601" spans="1:13" ht="15" customHeight="1">
      <c r="A601" s="436"/>
      <c r="B601" s="469" t="s">
        <v>830</v>
      </c>
      <c r="C601" s="1132"/>
      <c r="D601" s="836"/>
      <c r="E601" s="281" t="s">
        <v>17</v>
      </c>
      <c r="F601" s="368" t="s">
        <v>802</v>
      </c>
      <c r="G601" s="1289">
        <v>1</v>
      </c>
      <c r="H601" s="1290"/>
      <c r="I601" s="1291"/>
      <c r="J601" s="332">
        <v>8848.35</v>
      </c>
      <c r="K601" s="332"/>
      <c r="L601" s="1045"/>
      <c r="M601" s="68"/>
    </row>
    <row r="602" spans="1:13" ht="24.75" customHeight="1">
      <c r="A602" s="436" t="s">
        <v>599</v>
      </c>
      <c r="B602" s="1127" t="s">
        <v>600</v>
      </c>
      <c r="C602" s="385"/>
      <c r="D602" s="280"/>
      <c r="E602" s="281"/>
      <c r="F602" s="282"/>
      <c r="G602" s="1319">
        <v>2736</v>
      </c>
      <c r="H602" s="1320"/>
      <c r="I602" s="1321"/>
      <c r="J602" s="360">
        <f>J603+J604+J605+J606</f>
        <v>1171403.4</v>
      </c>
      <c r="K602" s="272"/>
      <c r="L602" s="1045"/>
      <c r="M602" s="68"/>
    </row>
    <row r="603" spans="1:13" ht="15.75" customHeight="1">
      <c r="A603" s="436"/>
      <c r="B603" s="487" t="s">
        <v>892</v>
      </c>
      <c r="C603" s="385"/>
      <c r="D603" s="280"/>
      <c r="E603" s="315" t="s">
        <v>594</v>
      </c>
      <c r="F603" s="282" t="s">
        <v>713</v>
      </c>
      <c r="G603" s="1289">
        <v>1</v>
      </c>
      <c r="H603" s="1290"/>
      <c r="I603" s="1291"/>
      <c r="J603" s="272">
        <v>7422.9</v>
      </c>
      <c r="K603" s="272"/>
      <c r="L603" s="1045"/>
      <c r="M603" s="68"/>
    </row>
    <row r="604" spans="1:13" ht="15.75" customHeight="1">
      <c r="A604" s="436"/>
      <c r="B604" s="470" t="s">
        <v>829</v>
      </c>
      <c r="C604" s="385"/>
      <c r="D604" s="280"/>
      <c r="E604" s="322" t="s">
        <v>838</v>
      </c>
      <c r="F604" s="583" t="s">
        <v>711</v>
      </c>
      <c r="G604" s="1319">
        <v>2736</v>
      </c>
      <c r="H604" s="1320"/>
      <c r="I604" s="1321"/>
      <c r="J604" s="272">
        <f>322762.8+825364.8</f>
        <v>1148127.6</v>
      </c>
      <c r="K604" s="272"/>
      <c r="L604" s="1045"/>
      <c r="M604" s="68"/>
    </row>
    <row r="605" spans="1:13" ht="15" customHeight="1">
      <c r="A605" s="436"/>
      <c r="B605" s="1094" t="s">
        <v>9</v>
      </c>
      <c r="C605" s="385"/>
      <c r="D605" s="280"/>
      <c r="E605" s="281" t="s">
        <v>594</v>
      </c>
      <c r="F605" s="368" t="s">
        <v>802</v>
      </c>
      <c r="G605" s="1289">
        <v>1</v>
      </c>
      <c r="H605" s="1290"/>
      <c r="I605" s="1291"/>
      <c r="J605" s="272">
        <v>0</v>
      </c>
      <c r="K605" s="272"/>
      <c r="L605" s="1045"/>
      <c r="M605" s="68"/>
    </row>
    <row r="606" spans="1:13" ht="16.5" customHeight="1">
      <c r="A606" s="436"/>
      <c r="B606" s="469" t="s">
        <v>830</v>
      </c>
      <c r="C606" s="385"/>
      <c r="D606" s="280"/>
      <c r="E606" s="281" t="s">
        <v>17</v>
      </c>
      <c r="F606" s="368" t="s">
        <v>802</v>
      </c>
      <c r="G606" s="1289">
        <v>1</v>
      </c>
      <c r="H606" s="1290"/>
      <c r="I606" s="1291"/>
      <c r="J606" s="272">
        <v>15852.9</v>
      </c>
      <c r="K606" s="272"/>
      <c r="L606" s="1045"/>
      <c r="M606" s="68"/>
    </row>
    <row r="607" spans="1:13" ht="15" customHeight="1">
      <c r="A607" s="331" t="s">
        <v>605</v>
      </c>
      <c r="B607" s="1127" t="s">
        <v>606</v>
      </c>
      <c r="C607" s="778"/>
      <c r="D607" s="340"/>
      <c r="E607" s="281"/>
      <c r="F607" s="530"/>
      <c r="G607" s="1323">
        <f>G609</f>
        <v>1102</v>
      </c>
      <c r="H607" s="1324"/>
      <c r="I607" s="1325"/>
      <c r="J607" s="360">
        <f>J608+J609+J610+J611</f>
        <v>501937.59</v>
      </c>
      <c r="K607" s="272"/>
      <c r="L607" s="1045"/>
      <c r="M607" s="68"/>
    </row>
    <row r="608" spans="1:13" ht="14.25" customHeight="1">
      <c r="A608" s="1150"/>
      <c r="B608" s="487" t="s">
        <v>892</v>
      </c>
      <c r="C608" s="1124"/>
      <c r="D608" s="314"/>
      <c r="E608" s="315" t="s">
        <v>594</v>
      </c>
      <c r="F608" s="282" t="s">
        <v>713</v>
      </c>
      <c r="G608" s="1289">
        <v>1</v>
      </c>
      <c r="H608" s="1290"/>
      <c r="I608" s="1291"/>
      <c r="J608" s="316">
        <v>6617.7</v>
      </c>
      <c r="K608" s="316"/>
      <c r="L608" s="1045"/>
      <c r="M608" s="68"/>
    </row>
    <row r="609" spans="1:13" ht="15" customHeight="1">
      <c r="A609" s="331"/>
      <c r="B609" s="470" t="s">
        <v>829</v>
      </c>
      <c r="C609" s="385"/>
      <c r="D609" s="280"/>
      <c r="E609" s="281"/>
      <c r="F609" s="583" t="s">
        <v>711</v>
      </c>
      <c r="G609" s="1319">
        <v>1102</v>
      </c>
      <c r="H609" s="1320"/>
      <c r="I609" s="1321"/>
      <c r="J609" s="272">
        <v>483937.89</v>
      </c>
      <c r="K609" s="272"/>
      <c r="L609" s="1045"/>
      <c r="M609" s="68"/>
    </row>
    <row r="610" spans="1:13" ht="15" customHeight="1">
      <c r="A610" s="1150"/>
      <c r="B610" s="1094" t="s">
        <v>9</v>
      </c>
      <c r="C610" s="1124"/>
      <c r="D610" s="314"/>
      <c r="E610" s="315"/>
      <c r="F610" s="368" t="s">
        <v>802</v>
      </c>
      <c r="G610" s="1289">
        <v>1</v>
      </c>
      <c r="H610" s="1290"/>
      <c r="I610" s="1291"/>
      <c r="J610" s="316">
        <v>1615.95</v>
      </c>
      <c r="K610" s="316"/>
      <c r="L610" s="1045"/>
      <c r="M610" s="68"/>
    </row>
    <row r="611" spans="1:47" ht="14.25" customHeight="1">
      <c r="A611" s="436"/>
      <c r="B611" s="469" t="s">
        <v>830</v>
      </c>
      <c r="C611" s="385"/>
      <c r="D611" s="280"/>
      <c r="E611" s="281"/>
      <c r="F611" s="368" t="s">
        <v>802</v>
      </c>
      <c r="G611" s="1289">
        <v>1</v>
      </c>
      <c r="H611" s="1290"/>
      <c r="I611" s="1291"/>
      <c r="J611" s="272">
        <v>9766.05</v>
      </c>
      <c r="K611" s="272"/>
      <c r="L611" s="1045"/>
      <c r="M611" s="68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  <c r="AA611" s="189"/>
      <c r="AB611" s="189"/>
      <c r="AC611" s="189"/>
      <c r="AD611" s="189"/>
      <c r="AE611" s="189"/>
      <c r="AF611" s="189"/>
      <c r="AG611" s="189"/>
      <c r="AH611" s="189"/>
      <c r="AI611" s="189"/>
      <c r="AJ611" s="189"/>
      <c r="AK611" s="189"/>
      <c r="AL611" s="189"/>
      <c r="AM611" s="189"/>
      <c r="AN611" s="189"/>
      <c r="AO611" s="189"/>
      <c r="AP611" s="189"/>
      <c r="AQ611" s="189"/>
      <c r="AR611" s="189"/>
      <c r="AS611" s="189"/>
      <c r="AT611" s="189"/>
      <c r="AU611" s="189"/>
    </row>
    <row r="612" spans="1:47" s="189" customFormat="1" ht="15.75" customHeight="1">
      <c r="A612" s="1150" t="s">
        <v>607</v>
      </c>
      <c r="B612" s="1131" t="s">
        <v>608</v>
      </c>
      <c r="C612" s="1124"/>
      <c r="D612" s="314"/>
      <c r="E612" s="313"/>
      <c r="F612" s="1151"/>
      <c r="G612" s="1481">
        <v>880</v>
      </c>
      <c r="H612" s="1482"/>
      <c r="I612" s="1483"/>
      <c r="J612" s="498">
        <f>J613+J614+J615+J616</f>
        <v>375532.80000000005</v>
      </c>
      <c r="K612" s="498"/>
      <c r="L612" s="1152"/>
      <c r="M612" s="1153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13" ht="15.75" customHeight="1">
      <c r="A613" s="436"/>
      <c r="B613" s="487" t="s">
        <v>892</v>
      </c>
      <c r="C613" s="385"/>
      <c r="D613" s="280"/>
      <c r="E613" s="322" t="s">
        <v>838</v>
      </c>
      <c r="F613" s="282" t="s">
        <v>713</v>
      </c>
      <c r="G613" s="1289">
        <v>1</v>
      </c>
      <c r="H613" s="1290"/>
      <c r="I613" s="1291"/>
      <c r="J613" s="272">
        <v>7387.2</v>
      </c>
      <c r="K613" s="272"/>
      <c r="L613" s="1045"/>
      <c r="M613" s="68"/>
    </row>
    <row r="614" spans="1:13" ht="15" customHeight="1">
      <c r="A614" s="722"/>
      <c r="B614" s="470" t="s">
        <v>829</v>
      </c>
      <c r="C614" s="1124"/>
      <c r="D614" s="314"/>
      <c r="E614" s="281"/>
      <c r="F614" s="583" t="s">
        <v>711</v>
      </c>
      <c r="G614" s="1258">
        <v>880</v>
      </c>
      <c r="H614" s="1259"/>
      <c r="I614" s="1248"/>
      <c r="J614" s="316">
        <v>360068.4</v>
      </c>
      <c r="K614" s="316"/>
      <c r="L614" s="1045"/>
      <c r="M614" s="68"/>
    </row>
    <row r="615" spans="1:13" ht="15" customHeight="1">
      <c r="A615" s="436"/>
      <c r="B615" s="1094" t="s">
        <v>9</v>
      </c>
      <c r="C615" s="385"/>
      <c r="D615" s="280"/>
      <c r="E615" s="281"/>
      <c r="F615" s="368" t="s">
        <v>802</v>
      </c>
      <c r="G615" s="1289">
        <v>1</v>
      </c>
      <c r="H615" s="1290"/>
      <c r="I615" s="1291"/>
      <c r="J615" s="272">
        <v>1231.2</v>
      </c>
      <c r="K615" s="272"/>
      <c r="L615" s="1045"/>
      <c r="M615" s="68"/>
    </row>
    <row r="616" spans="1:13" ht="13.5" customHeight="1">
      <c r="A616" s="722"/>
      <c r="B616" s="469" t="s">
        <v>830</v>
      </c>
      <c r="C616" s="1124"/>
      <c r="D616" s="314"/>
      <c r="E616" s="315"/>
      <c r="F616" s="368" t="s">
        <v>802</v>
      </c>
      <c r="G616" s="1289">
        <v>1</v>
      </c>
      <c r="H616" s="1290"/>
      <c r="I616" s="1291"/>
      <c r="J616" s="316">
        <v>6846</v>
      </c>
      <c r="K616" s="316"/>
      <c r="L616" s="265"/>
      <c r="M616" s="68"/>
    </row>
    <row r="617" spans="1:13" ht="15.75" customHeight="1" thickBot="1">
      <c r="A617" s="810" t="s">
        <v>166</v>
      </c>
      <c r="B617" s="831" t="s">
        <v>175</v>
      </c>
      <c r="C617" s="1059"/>
      <c r="D617" s="872"/>
      <c r="E617" s="821"/>
      <c r="F617" s="873" t="s">
        <v>802</v>
      </c>
      <c r="G617" s="1478">
        <v>1</v>
      </c>
      <c r="H617" s="1479"/>
      <c r="I617" s="1480"/>
      <c r="J617" s="809">
        <f>J618</f>
        <v>771073.59</v>
      </c>
      <c r="K617" s="809"/>
      <c r="L617" s="265"/>
      <c r="M617" s="68"/>
    </row>
    <row r="618" spans="1:13" ht="24.75" customHeight="1" thickBot="1">
      <c r="A618" s="518"/>
      <c r="B618" s="842" t="s">
        <v>196</v>
      </c>
      <c r="C618" s="633"/>
      <c r="D618" s="836"/>
      <c r="E618" s="325"/>
      <c r="F618" s="1099" t="s">
        <v>802</v>
      </c>
      <c r="G618" s="1283">
        <v>3</v>
      </c>
      <c r="H618" s="1284"/>
      <c r="I618" s="1285"/>
      <c r="J618" s="864">
        <f>J619+J622+J623</f>
        <v>771073.59</v>
      </c>
      <c r="K618" s="864">
        <v>771073.59</v>
      </c>
      <c r="L618" s="768"/>
      <c r="M618" s="68"/>
    </row>
    <row r="619" spans="1:13" ht="66" customHeight="1">
      <c r="A619" s="1189" t="s">
        <v>801</v>
      </c>
      <c r="B619" s="1190" t="s">
        <v>167</v>
      </c>
      <c r="C619" s="385"/>
      <c r="D619" s="280"/>
      <c r="E619" s="281"/>
      <c r="F619" s="530" t="s">
        <v>802</v>
      </c>
      <c r="G619" s="1224">
        <v>1</v>
      </c>
      <c r="H619" s="1225"/>
      <c r="I619" s="1226"/>
      <c r="J619" s="360">
        <f>J620+J621</f>
        <v>276676.57999999996</v>
      </c>
      <c r="K619" s="360"/>
      <c r="L619" s="345"/>
      <c r="M619" s="68"/>
    </row>
    <row r="620" spans="1:13" ht="16.5" customHeight="1">
      <c r="A620" s="370" t="s">
        <v>31</v>
      </c>
      <c r="B620" s="1057" t="s">
        <v>829</v>
      </c>
      <c r="C620" s="385"/>
      <c r="D620" s="280"/>
      <c r="E620" s="281" t="s">
        <v>379</v>
      </c>
      <c r="F620" s="368" t="s">
        <v>802</v>
      </c>
      <c r="G620" s="1258">
        <v>1</v>
      </c>
      <c r="H620" s="1259"/>
      <c r="I620" s="1248"/>
      <c r="J620" s="272">
        <f>249998.4+20698.2</f>
        <v>270696.6</v>
      </c>
      <c r="K620" s="272"/>
      <c r="L620" s="183"/>
      <c r="M620" s="68"/>
    </row>
    <row r="621" spans="1:13" ht="15.75" customHeight="1">
      <c r="A621" s="334" t="s">
        <v>151</v>
      </c>
      <c r="B621" s="1058" t="s">
        <v>830</v>
      </c>
      <c r="C621" s="834"/>
      <c r="D621" s="834"/>
      <c r="E621" s="281" t="s">
        <v>379</v>
      </c>
      <c r="F621" s="282" t="s">
        <v>802</v>
      </c>
      <c r="G621" s="1388">
        <v>1</v>
      </c>
      <c r="H621" s="1389"/>
      <c r="I621" s="1390"/>
      <c r="J621" s="858">
        <v>5979.98</v>
      </c>
      <c r="K621" s="858"/>
      <c r="M621" s="10"/>
    </row>
    <row r="622" spans="1:13" ht="31.5" customHeight="1">
      <c r="A622" s="1169" t="s">
        <v>794</v>
      </c>
      <c r="B622" s="588" t="s">
        <v>604</v>
      </c>
      <c r="C622" s="1170"/>
      <c r="D622" s="1171"/>
      <c r="E622" s="1172" t="s">
        <v>12</v>
      </c>
      <c r="F622" s="530" t="s">
        <v>802</v>
      </c>
      <c r="G622" s="1475">
        <v>1</v>
      </c>
      <c r="H622" s="1476"/>
      <c r="I622" s="1477"/>
      <c r="J622" s="1146">
        <v>15000</v>
      </c>
      <c r="K622" s="1137"/>
      <c r="M622" s="10"/>
    </row>
    <row r="623" spans="1:13" ht="27" customHeight="1">
      <c r="A623" s="1169" t="s">
        <v>795</v>
      </c>
      <c r="B623" s="588" t="s">
        <v>603</v>
      </c>
      <c r="C623" s="1135"/>
      <c r="D623" s="834"/>
      <c r="E623" s="295"/>
      <c r="F623" s="282"/>
      <c r="G623" s="1388">
        <v>1</v>
      </c>
      <c r="H623" s="1389"/>
      <c r="I623" s="1390"/>
      <c r="J623" s="1146">
        <f>J624+J625+J626+J627</f>
        <v>479397.01</v>
      </c>
      <c r="K623" s="1137"/>
      <c r="M623" s="10"/>
    </row>
    <row r="624" spans="1:18" ht="18" customHeight="1">
      <c r="A624" s="1134"/>
      <c r="B624" s="487" t="s">
        <v>892</v>
      </c>
      <c r="C624" s="1135"/>
      <c r="D624" s="834"/>
      <c r="E624" s="1136" t="s">
        <v>12</v>
      </c>
      <c r="F624" s="282" t="s">
        <v>802</v>
      </c>
      <c r="G624" s="1388">
        <v>1</v>
      </c>
      <c r="H624" s="1389"/>
      <c r="I624" s="1390"/>
      <c r="J624" s="858">
        <v>40156.81</v>
      </c>
      <c r="K624" s="1137"/>
      <c r="M624" s="10"/>
      <c r="N624" s="1"/>
      <c r="O624" s="1"/>
      <c r="P624" s="1"/>
      <c r="Q624" s="1"/>
      <c r="R624" s="1"/>
    </row>
    <row r="625" spans="1:253" ht="16.5" customHeight="1">
      <c r="A625" s="1138"/>
      <c r="B625" s="470" t="s">
        <v>829</v>
      </c>
      <c r="C625" s="1139"/>
      <c r="D625" s="1140"/>
      <c r="E625" s="1141" t="s">
        <v>380</v>
      </c>
      <c r="F625" s="282" t="s">
        <v>802</v>
      </c>
      <c r="G625" s="1388">
        <v>1</v>
      </c>
      <c r="H625" s="1389"/>
      <c r="I625" s="1390"/>
      <c r="J625" s="1142">
        <v>426846</v>
      </c>
      <c r="K625" s="1143"/>
      <c r="M625" s="10"/>
      <c r="S625" s="1102"/>
      <c r="T625" s="1102"/>
      <c r="U625" s="1102"/>
      <c r="V625" s="1102"/>
      <c r="W625" s="1102"/>
      <c r="X625" s="1102"/>
      <c r="Y625" s="1102"/>
      <c r="Z625" s="1102"/>
      <c r="AA625" s="1102"/>
      <c r="AB625" s="1102"/>
      <c r="AC625" s="1102"/>
      <c r="AD625" s="1102"/>
      <c r="AE625" s="1102"/>
      <c r="AF625" s="1102"/>
      <c r="AG625" s="1102"/>
      <c r="AH625" s="1102"/>
      <c r="AI625" s="1102"/>
      <c r="AJ625" s="1102"/>
      <c r="AK625" s="1102"/>
      <c r="AL625" s="1102"/>
      <c r="AM625" s="1102"/>
      <c r="AN625" s="1102"/>
      <c r="AO625" s="1102"/>
      <c r="AP625" s="1102"/>
      <c r="AQ625" s="1102"/>
      <c r="AR625" s="1102"/>
      <c r="AS625" s="1102"/>
      <c r="AT625" s="1102"/>
      <c r="AU625" s="1102"/>
      <c r="IS625" s="1102"/>
    </row>
    <row r="626" spans="1:253" s="1102" customFormat="1" ht="18" customHeight="1">
      <c r="A626" s="1134"/>
      <c r="B626" s="1094" t="s">
        <v>9</v>
      </c>
      <c r="C626" s="1135"/>
      <c r="D626" s="834"/>
      <c r="E626" s="1136" t="s">
        <v>12</v>
      </c>
      <c r="F626" s="282" t="s">
        <v>802</v>
      </c>
      <c r="G626" s="1388">
        <v>1</v>
      </c>
      <c r="H626" s="1389"/>
      <c r="I626" s="1390"/>
      <c r="J626" s="858">
        <v>4309.2</v>
      </c>
      <c r="K626" s="1137"/>
      <c r="L626"/>
      <c r="M626" s="1144"/>
      <c r="N626"/>
      <c r="O626"/>
      <c r="P626"/>
      <c r="Q626"/>
      <c r="R626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IS626" s="1"/>
    </row>
    <row r="627" spans="1:256" s="1102" customFormat="1" ht="15.75" customHeight="1">
      <c r="A627" s="1145"/>
      <c r="B627" s="469" t="s">
        <v>830</v>
      </c>
      <c r="C627" s="1135"/>
      <c r="D627" s="834"/>
      <c r="E627" s="281" t="s">
        <v>17</v>
      </c>
      <c r="F627" s="282" t="s">
        <v>802</v>
      </c>
      <c r="G627" s="1385">
        <v>1</v>
      </c>
      <c r="H627" s="1386"/>
      <c r="I627" s="1387"/>
      <c r="J627" s="296">
        <v>8085</v>
      </c>
      <c r="K627" s="1144"/>
      <c r="L627"/>
      <c r="M627" s="1144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/>
      <c r="IT627" s="1"/>
      <c r="IU627" s="1"/>
      <c r="IV627" s="1"/>
    </row>
    <row r="628" spans="1:256" s="1" customFormat="1" ht="15.75" customHeight="1">
      <c r="A628" s="1211" t="s">
        <v>174</v>
      </c>
      <c r="B628" s="1212" t="s">
        <v>268</v>
      </c>
      <c r="C628" s="1207">
        <v>10116</v>
      </c>
      <c r="D628" s="1207">
        <v>3100</v>
      </c>
      <c r="E628" s="1208"/>
      <c r="F628" s="1213"/>
      <c r="G628" s="1209"/>
      <c r="H628" s="1209"/>
      <c r="I628" s="1209"/>
      <c r="J628" s="1210">
        <v>213542.41</v>
      </c>
      <c r="K628" s="10"/>
      <c r="L628"/>
      <c r="M628" s="10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13" ht="17.25" customHeight="1">
      <c r="A629" s="1214"/>
      <c r="B629" s="1215" t="s">
        <v>318</v>
      </c>
      <c r="C629" s="1215"/>
      <c r="D629" s="1216" t="s">
        <v>70</v>
      </c>
      <c r="E629" s="1216" t="s">
        <v>320</v>
      </c>
      <c r="F629" s="282" t="s">
        <v>713</v>
      </c>
      <c r="G629" s="782"/>
      <c r="H629" s="922"/>
      <c r="I629" s="921">
        <v>1</v>
      </c>
      <c r="J629" s="725">
        <v>10000</v>
      </c>
      <c r="K629" s="345" t="s">
        <v>748</v>
      </c>
      <c r="M629" s="3"/>
    </row>
    <row r="630" spans="1:13" ht="17.25" customHeight="1">
      <c r="A630" s="1214"/>
      <c r="B630" s="1215" t="s">
        <v>318</v>
      </c>
      <c r="C630" s="1215"/>
      <c r="D630" s="1216" t="s">
        <v>70</v>
      </c>
      <c r="E630" s="1216" t="s">
        <v>266</v>
      </c>
      <c r="F630" s="282" t="s">
        <v>713</v>
      </c>
      <c r="G630" s="782"/>
      <c r="H630" s="922"/>
      <c r="I630" s="921">
        <v>6</v>
      </c>
      <c r="J630" s="921">
        <v>64999.97</v>
      </c>
      <c r="K630" s="345"/>
      <c r="M630" s="3"/>
    </row>
    <row r="631" spans="1:11" ht="30" customHeight="1">
      <c r="A631" s="1217" t="s">
        <v>378</v>
      </c>
      <c r="B631" s="1218" t="s">
        <v>267</v>
      </c>
      <c r="C631" s="1218"/>
      <c r="D631" s="273">
        <v>3132</v>
      </c>
      <c r="E631" s="1219" t="s">
        <v>319</v>
      </c>
      <c r="F631" s="273" t="s">
        <v>713</v>
      </c>
      <c r="G631" s="1439"/>
      <c r="H631" s="1439"/>
      <c r="I631" s="1220">
        <v>1</v>
      </c>
      <c r="J631" s="921">
        <v>138542.44</v>
      </c>
      <c r="K631" s="183"/>
    </row>
    <row r="632" spans="7:10" ht="12.75">
      <c r="G632" s="1"/>
      <c r="H632" s="1"/>
      <c r="I632" s="1"/>
      <c r="J632" s="1"/>
    </row>
    <row r="633" spans="7:10" ht="12.75">
      <c r="G633" s="1"/>
      <c r="H633" s="1"/>
      <c r="I633" s="1"/>
      <c r="J633" s="1"/>
    </row>
    <row r="634" spans="7:11" ht="12.75">
      <c r="G634" s="1"/>
      <c r="H634" s="1"/>
      <c r="I634" s="1"/>
      <c r="J634" s="1"/>
      <c r="K634" s="3"/>
    </row>
  </sheetData>
  <sheetProtection/>
  <mergeCells count="533">
    <mergeCell ref="G81:I81"/>
    <mergeCell ref="G308:I308"/>
    <mergeCell ref="G106:I106"/>
    <mergeCell ref="G126:I126"/>
    <mergeCell ref="G111:I111"/>
    <mergeCell ref="G120:I120"/>
    <mergeCell ref="G162:I162"/>
    <mergeCell ref="G284:I284"/>
    <mergeCell ref="G282:I282"/>
    <mergeCell ref="G300:I300"/>
    <mergeCell ref="G322:I322"/>
    <mergeCell ref="G196:I196"/>
    <mergeCell ref="G168:I168"/>
    <mergeCell ref="G297:I297"/>
    <mergeCell ref="G298:I298"/>
    <mergeCell ref="G232:I232"/>
    <mergeCell ref="G252:I252"/>
    <mergeCell ref="G193:I193"/>
    <mergeCell ref="G278:I278"/>
    <mergeCell ref="G281:I281"/>
    <mergeCell ref="G618:I618"/>
    <mergeCell ref="G617:I617"/>
    <mergeCell ref="G607:I607"/>
    <mergeCell ref="G577:I577"/>
    <mergeCell ref="G578:I578"/>
    <mergeCell ref="G579:I579"/>
    <mergeCell ref="G598:I598"/>
    <mergeCell ref="G602:I602"/>
    <mergeCell ref="G612:I612"/>
    <mergeCell ref="G584:I584"/>
    <mergeCell ref="G590:I590"/>
    <mergeCell ref="G582:I582"/>
    <mergeCell ref="G558:I558"/>
    <mergeCell ref="G585:I585"/>
    <mergeCell ref="G574:I574"/>
    <mergeCell ref="G559:I559"/>
    <mergeCell ref="G562:I562"/>
    <mergeCell ref="G572:I572"/>
    <mergeCell ref="G560:I560"/>
    <mergeCell ref="G561:I561"/>
    <mergeCell ref="G615:I615"/>
    <mergeCell ref="G611:I611"/>
    <mergeCell ref="G610:I610"/>
    <mergeCell ref="G609:I609"/>
    <mergeCell ref="G622:I622"/>
    <mergeCell ref="G623:I623"/>
    <mergeCell ref="G621:I621"/>
    <mergeCell ref="G619:I619"/>
    <mergeCell ref="G620:I620"/>
    <mergeCell ref="G534:I534"/>
    <mergeCell ref="G573:I573"/>
    <mergeCell ref="G567:I567"/>
    <mergeCell ref="G550:I550"/>
    <mergeCell ref="G565:I565"/>
    <mergeCell ref="G566:I566"/>
    <mergeCell ref="G563:I563"/>
    <mergeCell ref="G564:I564"/>
    <mergeCell ref="G569:I569"/>
    <mergeCell ref="G570:I570"/>
    <mergeCell ref="G381:I381"/>
    <mergeCell ref="G404:I404"/>
    <mergeCell ref="G472:I472"/>
    <mergeCell ref="G545:I545"/>
    <mergeCell ref="G535:I535"/>
    <mergeCell ref="G524:I524"/>
    <mergeCell ref="G527:I527"/>
    <mergeCell ref="G503:I503"/>
    <mergeCell ref="G482:I482"/>
    <mergeCell ref="G488:I488"/>
    <mergeCell ref="L98:M98"/>
    <mergeCell ref="G260:I260"/>
    <mergeCell ref="G263:I263"/>
    <mergeCell ref="G266:I266"/>
    <mergeCell ref="G233:I233"/>
    <mergeCell ref="G234:I234"/>
    <mergeCell ref="G246:I246"/>
    <mergeCell ref="G248:I248"/>
    <mergeCell ref="G203:I203"/>
    <mergeCell ref="G204:I204"/>
    <mergeCell ref="G495:I495"/>
    <mergeCell ref="G500:I500"/>
    <mergeCell ref="G491:I491"/>
    <mergeCell ref="G418:I418"/>
    <mergeCell ref="G486:I486"/>
    <mergeCell ref="G460:I460"/>
    <mergeCell ref="G461:I461"/>
    <mergeCell ref="G483:I483"/>
    <mergeCell ref="G311:I311"/>
    <mergeCell ref="G556:I556"/>
    <mergeCell ref="G529:I529"/>
    <mergeCell ref="G350:I350"/>
    <mergeCell ref="G551:I551"/>
    <mergeCell ref="G555:I555"/>
    <mergeCell ref="G313:I313"/>
    <mergeCell ref="G314:I314"/>
    <mergeCell ref="G490:I490"/>
    <mergeCell ref="G489:I489"/>
    <mergeCell ref="G325:I325"/>
    <mergeCell ref="G361:I361"/>
    <mergeCell ref="G340:I340"/>
    <mergeCell ref="G357:I357"/>
    <mergeCell ref="G351:I351"/>
    <mergeCell ref="G333:I333"/>
    <mergeCell ref="G358:I358"/>
    <mergeCell ref="G344:I344"/>
    <mergeCell ref="G438:I438"/>
    <mergeCell ref="G456:I456"/>
    <mergeCell ref="G348:I348"/>
    <mergeCell ref="G365:I365"/>
    <mergeCell ref="G364:I364"/>
    <mergeCell ref="G382:I382"/>
    <mergeCell ref="G372:I372"/>
    <mergeCell ref="G376:I376"/>
    <mergeCell ref="G484:I484"/>
    <mergeCell ref="G362:I362"/>
    <mergeCell ref="G457:I457"/>
    <mergeCell ref="G462:I462"/>
    <mergeCell ref="G367:I367"/>
    <mergeCell ref="G371:I371"/>
    <mergeCell ref="G402:I402"/>
    <mergeCell ref="G400:I400"/>
    <mergeCell ref="G392:I392"/>
    <mergeCell ref="G394:I394"/>
    <mergeCell ref="G396:I396"/>
    <mergeCell ref="G455:I455"/>
    <mergeCell ref="G425:I425"/>
    <mergeCell ref="G420:I420"/>
    <mergeCell ref="G429:I429"/>
    <mergeCell ref="G427:I427"/>
    <mergeCell ref="G480:I480"/>
    <mergeCell ref="G458:I458"/>
    <mergeCell ref="G463:I463"/>
    <mergeCell ref="G464:I464"/>
    <mergeCell ref="G479:I479"/>
    <mergeCell ref="G478:I478"/>
    <mergeCell ref="G466:I466"/>
    <mergeCell ref="G430:I430"/>
    <mergeCell ref="G440:I440"/>
    <mergeCell ref="G416:I416"/>
    <mergeCell ref="G432:I432"/>
    <mergeCell ref="G285:I285"/>
    <mergeCell ref="G286:I286"/>
    <mergeCell ref="G295:I295"/>
    <mergeCell ref="G304:I304"/>
    <mergeCell ref="G288:I288"/>
    <mergeCell ref="G289:I289"/>
    <mergeCell ref="G287:I287"/>
    <mergeCell ref="G303:I303"/>
    <mergeCell ref="G294:I294"/>
    <mergeCell ref="G410:I410"/>
    <mergeCell ref="G411:I411"/>
    <mergeCell ref="G459:I459"/>
    <mergeCell ref="G452:I452"/>
    <mergeCell ref="G448:I448"/>
    <mergeCell ref="G436:I436"/>
    <mergeCell ref="G434:I434"/>
    <mergeCell ref="G439:I439"/>
    <mergeCell ref="G451:I451"/>
    <mergeCell ref="G442:I442"/>
    <mergeCell ref="G437:I437"/>
    <mergeCell ref="G510:I510"/>
    <mergeCell ref="G501:I501"/>
    <mergeCell ref="G301:I301"/>
    <mergeCell ref="G307:I307"/>
    <mergeCell ref="G403:I403"/>
    <mergeCell ref="G485:I485"/>
    <mergeCell ref="G413:I413"/>
    <mergeCell ref="G415:I415"/>
    <mergeCell ref="G431:I431"/>
    <mergeCell ref="G449:I449"/>
    <mergeCell ref="G511:I511"/>
    <mergeCell ref="G507:I507"/>
    <mergeCell ref="G476:I476"/>
    <mergeCell ref="G453:I453"/>
    <mergeCell ref="G454:I454"/>
    <mergeCell ref="G473:I473"/>
    <mergeCell ref="G474:I474"/>
    <mergeCell ref="G471:I471"/>
    <mergeCell ref="G468:I468"/>
    <mergeCell ref="G504:I504"/>
    <mergeCell ref="G502:I502"/>
    <mergeCell ref="G433:I433"/>
    <mergeCell ref="G422:I422"/>
    <mergeCell ref="G499:I499"/>
    <mergeCell ref="G487:I487"/>
    <mergeCell ref="G493:I493"/>
    <mergeCell ref="G498:I498"/>
    <mergeCell ref="G497:I497"/>
    <mergeCell ref="G492:I492"/>
    <mergeCell ref="G496:I496"/>
    <mergeCell ref="G85:I85"/>
    <mergeCell ref="G114:I114"/>
    <mergeCell ref="G101:I101"/>
    <mergeCell ref="G328:I328"/>
    <mergeCell ref="G270:I270"/>
    <mergeCell ref="G273:I273"/>
    <mergeCell ref="G257:I257"/>
    <mergeCell ref="G258:I258"/>
    <mergeCell ref="G291:I291"/>
    <mergeCell ref="G389:I389"/>
    <mergeCell ref="G370:I370"/>
    <mergeCell ref="G330:I330"/>
    <mergeCell ref="G343:I343"/>
    <mergeCell ref="G360:I360"/>
    <mergeCell ref="G377:I377"/>
    <mergeCell ref="G386:I386"/>
    <mergeCell ref="G366:I366"/>
    <mergeCell ref="G385:I385"/>
    <mergeCell ref="G387:I387"/>
    <mergeCell ref="G494:I494"/>
    <mergeCell ref="G331:I331"/>
    <mergeCell ref="G447:I447"/>
    <mergeCell ref="G401:I401"/>
    <mergeCell ref="G450:I450"/>
    <mergeCell ref="G441:I441"/>
    <mergeCell ref="G341:I341"/>
    <mergeCell ref="G356:I356"/>
    <mergeCell ref="G342:I342"/>
    <mergeCell ref="G398:I398"/>
    <mergeCell ref="G123:I123"/>
    <mergeCell ref="G199:I199"/>
    <mergeCell ref="G200:I200"/>
    <mergeCell ref="G201:I201"/>
    <mergeCell ref="G186:I186"/>
    <mergeCell ref="G435:I435"/>
    <mergeCell ref="G419:I419"/>
    <mergeCell ref="G417:I417"/>
    <mergeCell ref="G421:I421"/>
    <mergeCell ref="G428:I428"/>
    <mergeCell ref="G426:I426"/>
    <mergeCell ref="G147:I147"/>
    <mergeCell ref="G63:I63"/>
    <mergeCell ref="G75:I75"/>
    <mergeCell ref="G70:I70"/>
    <mergeCell ref="G76:I76"/>
    <mergeCell ref="G66:I66"/>
    <mergeCell ref="G72:I72"/>
    <mergeCell ref="G67:I67"/>
    <mergeCell ref="G77:I77"/>
    <mergeCell ref="G65:I65"/>
    <mergeCell ref="G58:I58"/>
    <mergeCell ref="G57:I57"/>
    <mergeCell ref="G44:I44"/>
    <mergeCell ref="G47:I47"/>
    <mergeCell ref="G16:I16"/>
    <mergeCell ref="A1:L1"/>
    <mergeCell ref="A3:L3"/>
    <mergeCell ref="A4:L4"/>
    <mergeCell ref="A5:L5"/>
    <mergeCell ref="A2:L2"/>
    <mergeCell ref="A6:A7"/>
    <mergeCell ref="B6:B7"/>
    <mergeCell ref="E6:E7"/>
    <mergeCell ref="G117:I117"/>
    <mergeCell ref="G105:I105"/>
    <mergeCell ref="G60:I60"/>
    <mergeCell ref="G84:I84"/>
    <mergeCell ref="G80:I80"/>
    <mergeCell ref="G64:I64"/>
    <mergeCell ref="G74:I74"/>
    <mergeCell ref="G86:I86"/>
    <mergeCell ref="G90:I90"/>
    <mergeCell ref="G94:I94"/>
    <mergeCell ref="G631:H631"/>
    <mergeCell ref="G481:I481"/>
    <mergeCell ref="G475:I475"/>
    <mergeCell ref="G477:I477"/>
    <mergeCell ref="G508:I508"/>
    <mergeCell ref="G509:I509"/>
    <mergeCell ref="G505:I505"/>
    <mergeCell ref="G526:I526"/>
    <mergeCell ref="G530:I530"/>
    <mergeCell ref="G506:I506"/>
    <mergeCell ref="G20:I20"/>
    <mergeCell ref="G36:I36"/>
    <mergeCell ref="G37:I37"/>
    <mergeCell ref="G17:I17"/>
    <mergeCell ref="G19:I19"/>
    <mergeCell ref="G18:I18"/>
    <mergeCell ref="G28:I28"/>
    <mergeCell ref="G33:I33"/>
    <mergeCell ref="G27:I27"/>
    <mergeCell ref="G31:I31"/>
    <mergeCell ref="G30:I30"/>
    <mergeCell ref="G26:I26"/>
    <mergeCell ref="G22:I22"/>
    <mergeCell ref="G21:I21"/>
    <mergeCell ref="G25:I25"/>
    <mergeCell ref="G23:I23"/>
    <mergeCell ref="G56:I56"/>
    <mergeCell ref="G53:I53"/>
    <mergeCell ref="G40:I40"/>
    <mergeCell ref="G34:I34"/>
    <mergeCell ref="G46:I46"/>
    <mergeCell ref="G51:I51"/>
    <mergeCell ref="G41:I41"/>
    <mergeCell ref="G42:I42"/>
    <mergeCell ref="G49:I49"/>
    <mergeCell ref="G55:I55"/>
    <mergeCell ref="G54:I54"/>
    <mergeCell ref="C6:C7"/>
    <mergeCell ref="D6:D7"/>
    <mergeCell ref="G14:I14"/>
    <mergeCell ref="F6:F7"/>
    <mergeCell ref="G7:I7"/>
    <mergeCell ref="G11:I11"/>
    <mergeCell ref="G10:I10"/>
    <mergeCell ref="G12:I12"/>
    <mergeCell ref="G13:I13"/>
    <mergeCell ref="G92:I92"/>
    <mergeCell ref="G91:I91"/>
    <mergeCell ref="G96:I96"/>
    <mergeCell ref="G59:I59"/>
    <mergeCell ref="G68:I68"/>
    <mergeCell ref="G69:I69"/>
    <mergeCell ref="G71:I71"/>
    <mergeCell ref="G61:I61"/>
    <mergeCell ref="G62:I62"/>
    <mergeCell ref="G78:I78"/>
    <mergeCell ref="G15:I15"/>
    <mergeCell ref="G6:L6"/>
    <mergeCell ref="G9:I9"/>
    <mergeCell ref="G8:I8"/>
    <mergeCell ref="G171:I171"/>
    <mergeCell ref="G197:I197"/>
    <mergeCell ref="G135:I135"/>
    <mergeCell ref="G177:I177"/>
    <mergeCell ref="G180:I180"/>
    <mergeCell ref="G150:I150"/>
    <mergeCell ref="G174:I174"/>
    <mergeCell ref="G138:I138"/>
    <mergeCell ref="G165:I165"/>
    <mergeCell ref="G144:I144"/>
    <mergeCell ref="G87:I87"/>
    <mergeCell ref="G88:I88"/>
    <mergeCell ref="G93:I93"/>
    <mergeCell ref="G132:I132"/>
    <mergeCell ref="G97:I97"/>
    <mergeCell ref="G99:I99"/>
    <mergeCell ref="G98:I98"/>
    <mergeCell ref="G100:I100"/>
    <mergeCell ref="G129:I129"/>
    <mergeCell ref="G95:I95"/>
    <mergeCell ref="G102:I102"/>
    <mergeCell ref="G310:I310"/>
    <mergeCell ref="G309:I309"/>
    <mergeCell ref="G229:I229"/>
    <mergeCell ref="G223:I223"/>
    <mergeCell ref="G226:I226"/>
    <mergeCell ref="G231:I231"/>
    <mergeCell ref="G302:I302"/>
    <mergeCell ref="G153:I153"/>
    <mergeCell ref="G159:I159"/>
    <mergeCell ref="G216:I216"/>
    <mergeCell ref="G211:I211"/>
    <mergeCell ref="G228:I228"/>
    <mergeCell ref="G212:I212"/>
    <mergeCell ref="G220:I220"/>
    <mergeCell ref="G218:I218"/>
    <mergeCell ref="G194:I194"/>
    <mergeCell ref="G215:I215"/>
    <mergeCell ref="G205:I205"/>
    <mergeCell ref="G195:I195"/>
    <mergeCell ref="G207:I207"/>
    <mergeCell ref="G198:I198"/>
    <mergeCell ref="G206:I206"/>
    <mergeCell ref="G213:I213"/>
    <mergeCell ref="G210:I210"/>
    <mergeCell ref="G209:I209"/>
    <mergeCell ref="N54:N69"/>
    <mergeCell ref="G189:I189"/>
    <mergeCell ref="G89:I89"/>
    <mergeCell ref="G73:I73"/>
    <mergeCell ref="G79:I79"/>
    <mergeCell ref="G82:I82"/>
    <mergeCell ref="G156:I156"/>
    <mergeCell ref="G141:I141"/>
    <mergeCell ref="G104:I104"/>
    <mergeCell ref="G103:I103"/>
    <mergeCell ref="G532:I532"/>
    <mergeCell ref="G533:I533"/>
    <mergeCell ref="G531:I531"/>
    <mergeCell ref="G515:I515"/>
    <mergeCell ref="G519:I519"/>
    <mergeCell ref="G521:I521"/>
    <mergeCell ref="G520:I520"/>
    <mergeCell ref="G528:I528"/>
    <mergeCell ref="G523:I523"/>
    <mergeCell ref="G522:I522"/>
    <mergeCell ref="G512:I512"/>
    <mergeCell ref="G513:I513"/>
    <mergeCell ref="G517:I517"/>
    <mergeCell ref="G518:I518"/>
    <mergeCell ref="G516:I516"/>
    <mergeCell ref="G514:I514"/>
    <mergeCell ref="G544:I544"/>
    <mergeCell ref="G541:I541"/>
    <mergeCell ref="G536:I536"/>
    <mergeCell ref="G540:I540"/>
    <mergeCell ref="G537:I537"/>
    <mergeCell ref="G539:I539"/>
    <mergeCell ref="G538:I538"/>
    <mergeCell ref="G543:I543"/>
    <mergeCell ref="G192:I192"/>
    <mergeCell ref="G549:I549"/>
    <mergeCell ref="G546:I546"/>
    <mergeCell ref="G525:I525"/>
    <mergeCell ref="G208:I208"/>
    <mergeCell ref="G393:I393"/>
    <mergeCell ref="G293:I293"/>
    <mergeCell ref="G237:I237"/>
    <mergeCell ref="G299:I299"/>
    <mergeCell ref="G39:I39"/>
    <mergeCell ref="G107:I107"/>
    <mergeCell ref="G279:I279"/>
    <mergeCell ref="G261:I261"/>
    <mergeCell ref="G217:I217"/>
    <mergeCell ref="G267:I267"/>
    <mergeCell ref="G219:I219"/>
    <mergeCell ref="G222:I222"/>
    <mergeCell ref="G221:I221"/>
    <mergeCell ref="G202:I202"/>
    <mergeCell ref="G254:I254"/>
    <mergeCell ref="G255:I255"/>
    <mergeCell ref="G249:I249"/>
    <mergeCell ref="G214:I214"/>
    <mergeCell ref="G243:I243"/>
    <mergeCell ref="G236:I236"/>
    <mergeCell ref="G230:I230"/>
    <mergeCell ref="G225:I225"/>
    <mergeCell ref="G224:I224"/>
    <mergeCell ref="G227:I227"/>
    <mergeCell ref="G276:I276"/>
    <mergeCell ref="G275:I275"/>
    <mergeCell ref="G239:I239"/>
    <mergeCell ref="G240:I240"/>
    <mergeCell ref="G245:I245"/>
    <mergeCell ref="G269:I269"/>
    <mergeCell ref="G264:I264"/>
    <mergeCell ref="G272:I272"/>
    <mergeCell ref="G251:I251"/>
    <mergeCell ref="G242:I242"/>
    <mergeCell ref="G312:I312"/>
    <mergeCell ref="G380:I380"/>
    <mergeCell ref="G339:I339"/>
    <mergeCell ref="G375:I375"/>
    <mergeCell ref="G352:I352"/>
    <mergeCell ref="G324:I324"/>
    <mergeCell ref="G363:I363"/>
    <mergeCell ref="G323:I323"/>
    <mergeCell ref="G355:I355"/>
    <mergeCell ref="G329:I329"/>
    <mergeCell ref="G305:I305"/>
    <mergeCell ref="G306:I306"/>
    <mergeCell ref="G290:I290"/>
    <mergeCell ref="G292:I292"/>
    <mergeCell ref="G296:I296"/>
    <mergeCell ref="G315:I315"/>
    <mergeCell ref="G326:I326"/>
    <mergeCell ref="G354:I354"/>
    <mergeCell ref="G321:I321"/>
    <mergeCell ref="G320:I320"/>
    <mergeCell ref="G316:I316"/>
    <mergeCell ref="G327:I327"/>
    <mergeCell ref="G334:I334"/>
    <mergeCell ref="G346:I346"/>
    <mergeCell ref="G336:I336"/>
    <mergeCell ref="G347:I347"/>
    <mergeCell ref="G373:I373"/>
    <mergeCell ref="G374:I374"/>
    <mergeCell ref="G317:I317"/>
    <mergeCell ref="G318:I318"/>
    <mergeCell ref="G368:I368"/>
    <mergeCell ref="G369:I369"/>
    <mergeCell ref="G359:I359"/>
    <mergeCell ref="G337:I337"/>
    <mergeCell ref="G349:I349"/>
    <mergeCell ref="G384:I384"/>
    <mergeCell ref="G388:I388"/>
    <mergeCell ref="G597:I597"/>
    <mergeCell ref="G399:I399"/>
    <mergeCell ref="G391:I391"/>
    <mergeCell ref="G390:I390"/>
    <mergeCell ref="G395:I395"/>
    <mergeCell ref="G547:I547"/>
    <mergeCell ref="G548:I548"/>
    <mergeCell ref="G542:I542"/>
    <mergeCell ref="G613:I613"/>
    <mergeCell ref="G614:I614"/>
    <mergeCell ref="G608:I608"/>
    <mergeCell ref="G595:I595"/>
    <mergeCell ref="G606:I606"/>
    <mergeCell ref="G605:I605"/>
    <mergeCell ref="G604:I604"/>
    <mergeCell ref="G603:I603"/>
    <mergeCell ref="G626:I626"/>
    <mergeCell ref="G397:I397"/>
    <mergeCell ref="G469:I469"/>
    <mergeCell ref="G470:I470"/>
    <mergeCell ref="G405:I405"/>
    <mergeCell ref="G406:I406"/>
    <mergeCell ref="G467:I467"/>
    <mergeCell ref="G601:I601"/>
    <mergeCell ref="G552:I552"/>
    <mergeCell ref="G553:I553"/>
    <mergeCell ref="G593:I593"/>
    <mergeCell ref="G594:I594"/>
    <mergeCell ref="G571:I571"/>
    <mergeCell ref="G557:I557"/>
    <mergeCell ref="G591:I591"/>
    <mergeCell ref="G583:I583"/>
    <mergeCell ref="G575:I575"/>
    <mergeCell ref="G589:I589"/>
    <mergeCell ref="G627:I627"/>
    <mergeCell ref="G625:I625"/>
    <mergeCell ref="G378:I378"/>
    <mergeCell ref="G379:I379"/>
    <mergeCell ref="G383:I383"/>
    <mergeCell ref="G465:I465"/>
    <mergeCell ref="G596:I596"/>
    <mergeCell ref="G624:I624"/>
    <mergeCell ref="G616:I616"/>
    <mergeCell ref="G599:I599"/>
    <mergeCell ref="G600:I600"/>
    <mergeCell ref="G568:I568"/>
    <mergeCell ref="G592:I592"/>
    <mergeCell ref="G554:I554"/>
    <mergeCell ref="G588:I588"/>
    <mergeCell ref="G580:I580"/>
    <mergeCell ref="G581:I581"/>
    <mergeCell ref="G587:I587"/>
    <mergeCell ref="G586:I586"/>
    <mergeCell ref="G576:I576"/>
  </mergeCells>
  <printOptions horizontalCentered="1"/>
  <pageMargins left="0.3937007874015748" right="0" top="0.1968503937007874" bottom="0" header="0" footer="0"/>
  <pageSetup horizontalDpi="600" verticalDpi="600" orientation="landscape" paperSize="9" scale="88" r:id="rId1"/>
  <headerFooter alignWithMargins="0">
    <oddFooter>&amp;C&amp;P
</oddFooter>
  </headerFooter>
  <rowBreaks count="1" manualBreakCount="1">
    <brk id="6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7.25390625" style="0" customWidth="1"/>
    <col min="2" max="2" width="35.00390625" style="0" customWidth="1"/>
    <col min="3" max="3" width="11.75390625" style="0" customWidth="1"/>
    <col min="4" max="4" width="9.125" style="0" hidden="1" customWidth="1"/>
    <col min="5" max="5" width="17.75390625" style="0" customWidth="1"/>
    <col min="6" max="6" width="13.00390625" style="0" customWidth="1"/>
    <col min="7" max="7" width="9.125" style="0" hidden="1" customWidth="1"/>
    <col min="8" max="8" width="0.37109375" style="0" hidden="1" customWidth="1"/>
    <col min="9" max="17" width="9.125" style="0" hidden="1" customWidth="1"/>
    <col min="18" max="18" width="9.75390625" style="0" bestFit="1" customWidth="1"/>
  </cols>
  <sheetData>
    <row r="1" spans="1:7" ht="15">
      <c r="A1" s="1485" t="s">
        <v>297</v>
      </c>
      <c r="B1" s="1485"/>
      <c r="C1" s="1485"/>
      <c r="D1" s="1485"/>
      <c r="E1" s="1485"/>
      <c r="F1" s="1485"/>
      <c r="G1" s="183"/>
    </row>
    <row r="2" spans="1:7" ht="27" customHeight="1">
      <c r="A2" s="1486" t="s">
        <v>298</v>
      </c>
      <c r="B2" s="1486"/>
      <c r="C2" s="1486"/>
      <c r="D2" s="1486"/>
      <c r="E2" s="1486"/>
      <c r="F2" s="1486"/>
      <c r="G2" s="183"/>
    </row>
    <row r="3" spans="1:7" ht="15" customHeight="1">
      <c r="A3" s="1487" t="s">
        <v>299</v>
      </c>
      <c r="B3" s="1487"/>
      <c r="C3" s="1487"/>
      <c r="D3" s="1487"/>
      <c r="E3" s="1487"/>
      <c r="F3" s="1487"/>
      <c r="G3" s="183"/>
    </row>
    <row r="4" spans="1:6" ht="30" customHeight="1">
      <c r="A4" s="922" t="s">
        <v>300</v>
      </c>
      <c r="B4" s="922" t="s">
        <v>301</v>
      </c>
      <c r="C4" s="919" t="s">
        <v>302</v>
      </c>
      <c r="D4" s="919"/>
      <c r="E4" s="919" t="s">
        <v>304</v>
      </c>
      <c r="F4" s="919" t="s">
        <v>303</v>
      </c>
    </row>
    <row r="5" spans="1:6" ht="21" customHeight="1">
      <c r="A5" s="920"/>
      <c r="B5" s="364" t="s">
        <v>305</v>
      </c>
      <c r="C5" s="915"/>
      <c r="D5" s="915"/>
      <c r="E5" s="234"/>
      <c r="F5" s="920"/>
    </row>
    <row r="6" spans="1:6" ht="26.25" customHeight="1">
      <c r="A6" s="922" t="s">
        <v>306</v>
      </c>
      <c r="B6" s="916" t="s">
        <v>198</v>
      </c>
      <c r="C6" s="930">
        <f>C7+C8+C9+C10+C11+C12+C13+C14+C15+C16+C17+C18</f>
        <v>4015.2</v>
      </c>
      <c r="D6" s="917"/>
      <c r="E6" s="947">
        <f>E7+E8+E9+E10+E11+E12+E13+E14+E15+E16+E17+E18+E19</f>
        <v>1602.9999999999998</v>
      </c>
      <c r="F6" s="920"/>
    </row>
    <row r="7" spans="1:6" ht="29.25" customHeight="1">
      <c r="A7" s="921">
        <v>1</v>
      </c>
      <c r="B7" s="928" t="s">
        <v>325</v>
      </c>
      <c r="C7" s="929">
        <v>475</v>
      </c>
      <c r="D7" s="923"/>
      <c r="E7" s="927">
        <v>187.5938</v>
      </c>
      <c r="F7" s="949" t="s">
        <v>307</v>
      </c>
    </row>
    <row r="8" spans="1:14" ht="25.5" customHeight="1">
      <c r="A8" s="921">
        <v>2</v>
      </c>
      <c r="B8" s="925" t="s">
        <v>326</v>
      </c>
      <c r="C8" s="929">
        <v>430</v>
      </c>
      <c r="D8" s="923"/>
      <c r="E8" s="927">
        <v>193.6306</v>
      </c>
      <c r="F8" s="949" t="s">
        <v>307</v>
      </c>
      <c r="H8" s="1"/>
      <c r="I8" s="1"/>
      <c r="J8" s="1"/>
      <c r="K8" s="1"/>
      <c r="L8" s="1"/>
      <c r="M8" s="1"/>
      <c r="N8" s="1"/>
    </row>
    <row r="9" spans="1:14" ht="28.5" customHeight="1">
      <c r="A9" s="921">
        <v>3</v>
      </c>
      <c r="B9" s="925" t="s">
        <v>327</v>
      </c>
      <c r="C9" s="929">
        <v>440</v>
      </c>
      <c r="D9" s="923"/>
      <c r="E9" s="927">
        <v>174.951</v>
      </c>
      <c r="F9" s="949" t="s">
        <v>307</v>
      </c>
      <c r="H9" s="1"/>
      <c r="I9" s="924"/>
      <c r="J9" s="924"/>
      <c r="K9" s="924"/>
      <c r="L9" s="924"/>
      <c r="M9" s="924"/>
      <c r="N9" s="1"/>
    </row>
    <row r="10" spans="1:7" ht="27.75" customHeight="1">
      <c r="A10" s="921">
        <v>4</v>
      </c>
      <c r="B10" s="925" t="s">
        <v>328</v>
      </c>
      <c r="C10" s="929">
        <v>380</v>
      </c>
      <c r="D10" s="923"/>
      <c r="E10" s="927">
        <v>154.967</v>
      </c>
      <c r="F10" s="949" t="s">
        <v>307</v>
      </c>
      <c r="G10" s="943"/>
    </row>
    <row r="11" spans="1:18" ht="27" customHeight="1">
      <c r="A11" s="921">
        <v>5</v>
      </c>
      <c r="B11" s="925" t="s">
        <v>329</v>
      </c>
      <c r="C11" s="929">
        <v>150</v>
      </c>
      <c r="D11" s="923"/>
      <c r="E11" s="927">
        <v>22.234</v>
      </c>
      <c r="F11" s="949" t="s">
        <v>307</v>
      </c>
      <c r="J11" s="932"/>
      <c r="K11" s="933"/>
      <c r="L11" s="934"/>
      <c r="M11" s="935"/>
      <c r="N11" s="936"/>
      <c r="O11" s="1300"/>
      <c r="P11" s="1300"/>
      <c r="Q11" s="1300"/>
      <c r="R11" s="937"/>
    </row>
    <row r="12" spans="1:18" ht="27.75" customHeight="1">
      <c r="A12" s="921">
        <v>6</v>
      </c>
      <c r="B12" s="925" t="s">
        <v>330</v>
      </c>
      <c r="C12" s="929">
        <v>91</v>
      </c>
      <c r="D12" s="923"/>
      <c r="E12" s="927">
        <v>35.94</v>
      </c>
      <c r="F12" s="949" t="s">
        <v>307</v>
      </c>
      <c r="J12" s="779"/>
      <c r="K12" s="935"/>
      <c r="L12" s="938"/>
      <c r="M12" s="935"/>
      <c r="N12" s="936"/>
      <c r="O12" s="1345"/>
      <c r="P12" s="1345"/>
      <c r="Q12" s="1345"/>
      <c r="R12" s="563"/>
    </row>
    <row r="13" spans="1:6" ht="28.5" customHeight="1">
      <c r="A13" s="931">
        <v>7</v>
      </c>
      <c r="B13" s="925" t="s">
        <v>698</v>
      </c>
      <c r="C13" s="929">
        <v>140</v>
      </c>
      <c r="D13" s="285"/>
      <c r="E13" s="927">
        <v>18.05</v>
      </c>
      <c r="F13" s="948" t="s">
        <v>309</v>
      </c>
    </row>
    <row r="14" spans="1:6" ht="37.5" customHeight="1">
      <c r="A14" s="931">
        <v>8</v>
      </c>
      <c r="B14" s="939" t="s">
        <v>331</v>
      </c>
      <c r="C14" s="931">
        <v>301</v>
      </c>
      <c r="D14" s="782"/>
      <c r="E14" s="931">
        <v>132.486</v>
      </c>
      <c r="F14" s="949" t="s">
        <v>307</v>
      </c>
    </row>
    <row r="15" spans="1:6" ht="54" customHeight="1">
      <c r="A15" s="921">
        <v>9</v>
      </c>
      <c r="B15" s="925" t="s">
        <v>332</v>
      </c>
      <c r="C15" s="929">
        <v>516.2</v>
      </c>
      <c r="D15" s="285"/>
      <c r="E15" s="945">
        <f>183.6156</f>
        <v>183.6156</v>
      </c>
      <c r="F15" s="948" t="s">
        <v>309</v>
      </c>
    </row>
    <row r="16" spans="1:6" ht="40.5" customHeight="1">
      <c r="A16" s="944">
        <v>10</v>
      </c>
      <c r="B16" s="940" t="s">
        <v>333</v>
      </c>
      <c r="C16" s="929">
        <v>440</v>
      </c>
      <c r="D16" s="285"/>
      <c r="E16" s="946">
        <v>198</v>
      </c>
      <c r="F16" s="948" t="s">
        <v>310</v>
      </c>
    </row>
    <row r="17" spans="1:8" ht="28.5" customHeight="1">
      <c r="A17" s="921">
        <v>11</v>
      </c>
      <c r="B17" s="940" t="s">
        <v>334</v>
      </c>
      <c r="C17" s="929">
        <v>437</v>
      </c>
      <c r="D17" s="285"/>
      <c r="E17" s="946">
        <v>197</v>
      </c>
      <c r="F17" s="948" t="s">
        <v>310</v>
      </c>
      <c r="H17" s="960"/>
    </row>
    <row r="18" spans="1:8" ht="25.5">
      <c r="A18" s="921">
        <v>12</v>
      </c>
      <c r="B18" s="940" t="s">
        <v>693</v>
      </c>
      <c r="C18" s="929">
        <v>215</v>
      </c>
      <c r="D18" s="285"/>
      <c r="E18" s="946">
        <f>38+59.144</f>
        <v>97.144</v>
      </c>
      <c r="F18" s="948" t="s">
        <v>310</v>
      </c>
      <c r="H18" s="960"/>
    </row>
    <row r="19" spans="1:6" ht="39" thickBot="1">
      <c r="A19" s="954">
        <v>13</v>
      </c>
      <c r="B19" s="955" t="s">
        <v>335</v>
      </c>
      <c r="C19" s="956" t="s">
        <v>308</v>
      </c>
      <c r="D19" s="957"/>
      <c r="E19" s="958">
        <v>7.388</v>
      </c>
      <c r="F19" s="959" t="s">
        <v>307</v>
      </c>
    </row>
    <row r="20" spans="1:8" ht="25.5">
      <c r="A20" s="950" t="s">
        <v>776</v>
      </c>
      <c r="B20" s="951" t="s">
        <v>197</v>
      </c>
      <c r="C20" s="375">
        <f>C21+C22+C23+C24+C25+C26+C27+C28+C29+C30+C31+C32+C33+C34+C35+C36+C37+C38+C39+C40+C41+C42+C43+C44+C45+H46+H47+C46+C47</f>
        <v>54227.87659574468</v>
      </c>
      <c r="D20" s="952"/>
      <c r="E20" s="965">
        <f>SUM(E21:E47)</f>
        <v>24173.174</v>
      </c>
      <c r="F20" s="953"/>
      <c r="H20" s="1"/>
    </row>
    <row r="21" spans="1:8" ht="38.25">
      <c r="A21" s="931">
        <v>1</v>
      </c>
      <c r="B21" s="459" t="s">
        <v>336</v>
      </c>
      <c r="C21" s="914">
        <v>939</v>
      </c>
      <c r="D21" s="918"/>
      <c r="E21" s="927">
        <v>452.6748</v>
      </c>
      <c r="F21" s="949" t="s">
        <v>307</v>
      </c>
      <c r="G21" s="765"/>
      <c r="H21" s="1"/>
    </row>
    <row r="22" spans="1:8" ht="24">
      <c r="A22" s="931">
        <v>2</v>
      </c>
      <c r="B22" s="475" t="s">
        <v>314</v>
      </c>
      <c r="C22" s="914">
        <v>873</v>
      </c>
      <c r="D22" s="918"/>
      <c r="E22" s="927">
        <v>415.6954</v>
      </c>
      <c r="F22" s="949" t="s">
        <v>307</v>
      </c>
      <c r="G22" s="24"/>
      <c r="H22" s="1"/>
    </row>
    <row r="23" spans="1:8" ht="51">
      <c r="A23" s="931">
        <v>3</v>
      </c>
      <c r="B23" s="459" t="s">
        <v>315</v>
      </c>
      <c r="C23" s="929">
        <v>2108</v>
      </c>
      <c r="D23" s="923"/>
      <c r="E23" s="927">
        <v>985.661</v>
      </c>
      <c r="F23" s="949" t="s">
        <v>307</v>
      </c>
      <c r="H23" s="1"/>
    </row>
    <row r="24" spans="1:8" ht="38.25">
      <c r="A24" s="931">
        <v>4</v>
      </c>
      <c r="B24" s="459" t="s">
        <v>316</v>
      </c>
      <c r="C24" s="914">
        <v>800</v>
      </c>
      <c r="D24" s="918"/>
      <c r="E24" s="927">
        <v>383.9528</v>
      </c>
      <c r="F24" s="949" t="s">
        <v>307</v>
      </c>
      <c r="H24" s="1"/>
    </row>
    <row r="25" spans="1:8" ht="29.25" customHeight="1">
      <c r="A25" s="931">
        <v>5</v>
      </c>
      <c r="B25" s="459" t="s">
        <v>317</v>
      </c>
      <c r="C25" s="929">
        <v>2900</v>
      </c>
      <c r="D25" s="918"/>
      <c r="E25" s="927">
        <v>1258.6436</v>
      </c>
      <c r="F25" s="948" t="s">
        <v>309</v>
      </c>
      <c r="H25" s="1"/>
    </row>
    <row r="26" spans="1:8" ht="38.25">
      <c r="A26" s="931">
        <v>6</v>
      </c>
      <c r="B26" s="459" t="s">
        <v>312</v>
      </c>
      <c r="C26" s="929">
        <v>1733</v>
      </c>
      <c r="D26" s="918"/>
      <c r="E26" s="927">
        <v>892.6038</v>
      </c>
      <c r="F26" s="949" t="s">
        <v>307</v>
      </c>
      <c r="H26" s="1"/>
    </row>
    <row r="27" spans="1:8" ht="54" customHeight="1">
      <c r="A27" s="931">
        <v>7</v>
      </c>
      <c r="B27" s="459" t="s">
        <v>321</v>
      </c>
      <c r="C27" s="929">
        <f>2897</f>
        <v>2897</v>
      </c>
      <c r="D27" s="923"/>
      <c r="E27" s="927">
        <v>1285.304</v>
      </c>
      <c r="F27" s="949" t="s">
        <v>307</v>
      </c>
      <c r="H27" s="1"/>
    </row>
    <row r="28" spans="1:8" ht="42" customHeight="1">
      <c r="A28" s="931">
        <v>8</v>
      </c>
      <c r="B28" s="459" t="s">
        <v>311</v>
      </c>
      <c r="C28" s="929">
        <v>1138</v>
      </c>
      <c r="D28" s="918"/>
      <c r="E28" s="927">
        <v>580.4702</v>
      </c>
      <c r="F28" s="949" t="s">
        <v>307</v>
      </c>
      <c r="H28" s="1"/>
    </row>
    <row r="29" spans="1:8" ht="31.5" customHeight="1">
      <c r="A29" s="931">
        <v>9</v>
      </c>
      <c r="B29" s="459" t="s">
        <v>322</v>
      </c>
      <c r="C29" s="929">
        <v>1280</v>
      </c>
      <c r="D29" s="918"/>
      <c r="E29" s="927">
        <v>580.8644</v>
      </c>
      <c r="F29" s="948" t="s">
        <v>309</v>
      </c>
      <c r="H29" s="1"/>
    </row>
    <row r="30" spans="1:8" ht="44.25" customHeight="1">
      <c r="A30" s="931">
        <v>10</v>
      </c>
      <c r="B30" s="925" t="s">
        <v>694</v>
      </c>
      <c r="C30" s="929">
        <v>2317</v>
      </c>
      <c r="D30" s="923"/>
      <c r="E30" s="927">
        <v>1071.935</v>
      </c>
      <c r="F30" s="948" t="s">
        <v>309</v>
      </c>
      <c r="H30" s="1"/>
    </row>
    <row r="31" spans="1:8" ht="38.25">
      <c r="A31" s="931">
        <v>11</v>
      </c>
      <c r="B31" s="925" t="s">
        <v>695</v>
      </c>
      <c r="C31" s="929">
        <f>E31/0.47</f>
        <v>1471.876595744681</v>
      </c>
      <c r="D31" s="918"/>
      <c r="E31" s="927">
        <v>691.782</v>
      </c>
      <c r="F31" s="948" t="s">
        <v>309</v>
      </c>
      <c r="H31" s="1"/>
    </row>
    <row r="32" spans="1:8" ht="36">
      <c r="A32" s="931">
        <v>12</v>
      </c>
      <c r="B32" s="475" t="s">
        <v>313</v>
      </c>
      <c r="C32" s="929">
        <v>2327</v>
      </c>
      <c r="D32" s="918"/>
      <c r="E32" s="926">
        <v>1047.146</v>
      </c>
      <c r="F32" s="948" t="s">
        <v>309</v>
      </c>
      <c r="H32" s="1"/>
    </row>
    <row r="33" spans="1:8" ht="51">
      <c r="A33" s="931">
        <v>13</v>
      </c>
      <c r="B33" s="928" t="s">
        <v>324</v>
      </c>
      <c r="C33" s="921">
        <v>1150</v>
      </c>
      <c r="D33" s="941"/>
      <c r="E33" s="942">
        <v>539.924</v>
      </c>
      <c r="F33" s="948" t="s">
        <v>309</v>
      </c>
      <c r="H33" s="960"/>
    </row>
    <row r="34" spans="1:8" ht="36" customHeight="1">
      <c r="A34" s="931">
        <v>14</v>
      </c>
      <c r="B34" s="928" t="s">
        <v>337</v>
      </c>
      <c r="C34" s="921">
        <v>2530</v>
      </c>
      <c r="D34" s="941"/>
      <c r="E34" s="942">
        <v>1140</v>
      </c>
      <c r="F34" s="928" t="s">
        <v>323</v>
      </c>
      <c r="H34" s="960"/>
    </row>
    <row r="35" spans="1:8" ht="38.25">
      <c r="A35" s="931">
        <v>15</v>
      </c>
      <c r="B35" s="928" t="s">
        <v>338</v>
      </c>
      <c r="C35" s="921">
        <v>3050</v>
      </c>
      <c r="D35" s="941"/>
      <c r="E35" s="942">
        <v>1374</v>
      </c>
      <c r="F35" s="928" t="s">
        <v>323</v>
      </c>
      <c r="H35" s="960"/>
    </row>
    <row r="36" spans="1:8" ht="40.5" customHeight="1">
      <c r="A36" s="931">
        <v>16</v>
      </c>
      <c r="B36" s="928" t="s">
        <v>339</v>
      </c>
      <c r="C36" s="921">
        <v>665</v>
      </c>
      <c r="D36" s="941"/>
      <c r="E36" s="942">
        <v>300</v>
      </c>
      <c r="F36" s="928" t="s">
        <v>323</v>
      </c>
      <c r="H36" s="960"/>
    </row>
    <row r="37" spans="1:8" ht="39.75" customHeight="1">
      <c r="A37" s="931">
        <v>17</v>
      </c>
      <c r="B37" s="928" t="s">
        <v>340</v>
      </c>
      <c r="C37" s="921">
        <v>2900</v>
      </c>
      <c r="D37" s="941"/>
      <c r="E37" s="942">
        <v>1305</v>
      </c>
      <c r="F37" s="928" t="s">
        <v>323</v>
      </c>
      <c r="H37" s="960"/>
    </row>
    <row r="38" spans="1:8" ht="39.75" customHeight="1">
      <c r="A38" s="931">
        <v>18</v>
      </c>
      <c r="B38" s="928" t="s">
        <v>341</v>
      </c>
      <c r="C38" s="921">
        <v>2710</v>
      </c>
      <c r="D38" s="941"/>
      <c r="E38" s="942">
        <v>1220</v>
      </c>
      <c r="F38" s="928" t="s">
        <v>323</v>
      </c>
      <c r="H38" s="960"/>
    </row>
    <row r="39" spans="1:8" ht="43.5" customHeight="1">
      <c r="A39" s="931">
        <v>19</v>
      </c>
      <c r="B39" s="928" t="s">
        <v>342</v>
      </c>
      <c r="C39" s="921">
        <v>1618</v>
      </c>
      <c r="D39" s="941"/>
      <c r="E39" s="942">
        <v>728.5</v>
      </c>
      <c r="F39" s="928" t="s">
        <v>323</v>
      </c>
      <c r="H39" s="960"/>
    </row>
    <row r="40" spans="1:8" ht="38.25">
      <c r="A40" s="931">
        <v>20</v>
      </c>
      <c r="B40" s="928" t="s">
        <v>685</v>
      </c>
      <c r="C40" s="921">
        <v>2035</v>
      </c>
      <c r="D40" s="941"/>
      <c r="E40" s="942">
        <v>916</v>
      </c>
      <c r="F40" s="928" t="s">
        <v>323</v>
      </c>
      <c r="H40" s="960"/>
    </row>
    <row r="41" spans="1:8" ht="43.5" customHeight="1">
      <c r="A41" s="931">
        <v>21</v>
      </c>
      <c r="B41" s="928" t="s">
        <v>686</v>
      </c>
      <c r="C41" s="921">
        <v>2866</v>
      </c>
      <c r="D41" s="941"/>
      <c r="E41" s="942">
        <v>1290</v>
      </c>
      <c r="F41" s="928" t="s">
        <v>323</v>
      </c>
      <c r="H41" s="960"/>
    </row>
    <row r="42" spans="1:8" ht="51">
      <c r="A42" s="931">
        <v>22</v>
      </c>
      <c r="B42" s="928" t="s">
        <v>687</v>
      </c>
      <c r="C42" s="921">
        <v>3133</v>
      </c>
      <c r="D42" s="941"/>
      <c r="E42" s="942">
        <v>1410</v>
      </c>
      <c r="F42" s="928" t="s">
        <v>323</v>
      </c>
      <c r="H42" s="960"/>
    </row>
    <row r="43" spans="1:8" ht="51">
      <c r="A43" s="931">
        <v>23</v>
      </c>
      <c r="B43" s="928" t="s">
        <v>688</v>
      </c>
      <c r="C43" s="921">
        <v>2552</v>
      </c>
      <c r="D43" s="941"/>
      <c r="E43" s="942">
        <v>1104.5</v>
      </c>
      <c r="F43" s="928" t="s">
        <v>323</v>
      </c>
      <c r="H43" s="960"/>
    </row>
    <row r="44" spans="1:11" ht="28.5" customHeight="1">
      <c r="A44" s="931">
        <v>24</v>
      </c>
      <c r="B44" s="928" t="s">
        <v>689</v>
      </c>
      <c r="C44" s="921">
        <v>1200</v>
      </c>
      <c r="D44" s="941"/>
      <c r="E44" s="942">
        <f>540-200</f>
        <v>340</v>
      </c>
      <c r="F44" s="928" t="s">
        <v>323</v>
      </c>
      <c r="H44" s="960"/>
      <c r="I44" s="1"/>
      <c r="J44" s="1"/>
      <c r="K44" s="1"/>
    </row>
    <row r="45" spans="1:11" ht="41.25" customHeight="1">
      <c r="A45" s="931">
        <v>25</v>
      </c>
      <c r="B45" s="928" t="s">
        <v>690</v>
      </c>
      <c r="C45" s="921">
        <v>1955</v>
      </c>
      <c r="D45" s="941"/>
      <c r="E45" s="942">
        <v>880</v>
      </c>
      <c r="F45" s="928" t="s">
        <v>323</v>
      </c>
      <c r="H45" s="960"/>
      <c r="I45" s="1"/>
      <c r="J45" s="1"/>
      <c r="K45" s="1"/>
    </row>
    <row r="46" spans="1:11" ht="38.25">
      <c r="A46" s="931">
        <v>26</v>
      </c>
      <c r="B46" s="928" t="s">
        <v>691</v>
      </c>
      <c r="C46" s="931">
        <v>2475</v>
      </c>
      <c r="D46" s="782"/>
      <c r="E46" s="931">
        <f>1114.717-154.536</f>
        <v>960.181</v>
      </c>
      <c r="F46" s="928" t="s">
        <v>323</v>
      </c>
      <c r="H46" s="961"/>
      <c r="I46" s="961"/>
      <c r="J46" s="962"/>
      <c r="K46" s="963"/>
    </row>
    <row r="47" spans="1:11" ht="47.25" customHeight="1">
      <c r="A47" s="931">
        <v>27</v>
      </c>
      <c r="B47" s="928" t="s">
        <v>692</v>
      </c>
      <c r="C47" s="931">
        <v>2605</v>
      </c>
      <c r="D47" s="782"/>
      <c r="E47" s="931">
        <f>1172.873-154.537</f>
        <v>1018.336</v>
      </c>
      <c r="F47" s="928" t="s">
        <v>323</v>
      </c>
      <c r="H47" s="961"/>
      <c r="I47" s="961"/>
      <c r="J47" s="962"/>
      <c r="K47" s="963"/>
    </row>
    <row r="48" spans="1:8" ht="30" customHeight="1">
      <c r="A48" s="1484" t="s">
        <v>697</v>
      </c>
      <c r="B48" s="1484"/>
      <c r="C48" s="189"/>
      <c r="D48" s="189"/>
      <c r="F48" s="964" t="s">
        <v>696</v>
      </c>
      <c r="H48" s="1"/>
    </row>
    <row r="49" ht="12.75">
      <c r="A49" s="217"/>
    </row>
  </sheetData>
  <sheetProtection/>
  <mergeCells count="6">
    <mergeCell ref="A48:B48"/>
    <mergeCell ref="O11:Q11"/>
    <mergeCell ref="O12:Q12"/>
    <mergeCell ref="A1:F1"/>
    <mergeCell ref="A2:F2"/>
    <mergeCell ref="A3:F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6">
      <selection activeCell="B29" sqref="B29:B30"/>
    </sheetView>
  </sheetViews>
  <sheetFormatPr defaultColWidth="9.00390625" defaultRowHeight="12.75"/>
  <cols>
    <col min="1" max="1" width="5.625" style="0" customWidth="1"/>
    <col min="2" max="2" width="59.00390625" style="0" customWidth="1"/>
    <col min="3" max="3" width="25.75390625" style="0" customWidth="1"/>
    <col min="4" max="4" width="14.375" style="0" customWidth="1"/>
    <col min="5" max="5" width="11.25390625" style="0" customWidth="1"/>
    <col min="6" max="6" width="8.00390625" style="0" customWidth="1"/>
    <col min="7" max="7" width="23.125" style="0" customWidth="1"/>
    <col min="9" max="9" width="19.875" style="0" customWidth="1"/>
  </cols>
  <sheetData>
    <row r="1" spans="1:7" ht="18.75">
      <c r="A1" s="1498" t="s">
        <v>746</v>
      </c>
      <c r="B1" s="1498"/>
      <c r="C1" s="1498"/>
      <c r="D1" s="1498"/>
      <c r="E1" s="1498"/>
      <c r="F1" s="1498"/>
      <c r="G1" s="1498"/>
    </row>
    <row r="2" spans="1:7" ht="15.75">
      <c r="A2" s="1488" t="s">
        <v>296</v>
      </c>
      <c r="B2" s="1488"/>
      <c r="C2" s="1488"/>
      <c r="D2" s="1488"/>
      <c r="E2" s="1488"/>
      <c r="F2" s="1488"/>
      <c r="G2" s="1488"/>
    </row>
    <row r="3" spans="1:7" ht="15.75">
      <c r="A3" s="1488" t="s">
        <v>468</v>
      </c>
      <c r="B3" s="1488"/>
      <c r="C3" s="1488"/>
      <c r="D3" s="1488"/>
      <c r="E3" s="1488"/>
      <c r="F3" s="1488"/>
      <c r="G3" s="1488"/>
    </row>
    <row r="4" spans="1:7" ht="22.5" customHeight="1" thickBot="1">
      <c r="A4" s="1489" t="s">
        <v>744</v>
      </c>
      <c r="B4" s="1489"/>
      <c r="C4" s="1489"/>
      <c r="D4" s="1489"/>
      <c r="E4" s="1489"/>
      <c r="F4" s="1489"/>
      <c r="G4" s="1489"/>
    </row>
    <row r="5" spans="1:7" ht="12.75" customHeight="1">
      <c r="A5" s="1509" t="s">
        <v>766</v>
      </c>
      <c r="B5" s="1496" t="s">
        <v>707</v>
      </c>
      <c r="C5" s="1496" t="s">
        <v>708</v>
      </c>
      <c r="D5" s="1496" t="s">
        <v>709</v>
      </c>
      <c r="E5" s="1501" t="s">
        <v>811</v>
      </c>
      <c r="F5" s="1502"/>
      <c r="G5" s="1505" t="s">
        <v>191</v>
      </c>
    </row>
    <row r="6" spans="1:7" ht="18" customHeight="1" thickBot="1">
      <c r="A6" s="1510"/>
      <c r="B6" s="1497"/>
      <c r="C6" s="1497"/>
      <c r="D6" s="1497"/>
      <c r="E6" s="1503"/>
      <c r="F6" s="1504"/>
      <c r="G6" s="1506"/>
    </row>
    <row r="7" spans="1:7" ht="22.5" customHeight="1" thickBot="1">
      <c r="A7" s="594"/>
      <c r="B7" s="298" t="s">
        <v>714</v>
      </c>
      <c r="C7" s="299"/>
      <c r="D7" s="300"/>
      <c r="E7" s="1507"/>
      <c r="F7" s="1508"/>
      <c r="G7" s="595">
        <f>G8+G11+G14+G17+G20+G21</f>
        <v>1452495.7799999998</v>
      </c>
    </row>
    <row r="8" spans="1:7" ht="27.75" customHeight="1" thickBot="1">
      <c r="A8" s="596">
        <v>1</v>
      </c>
      <c r="B8" s="580" t="s">
        <v>699</v>
      </c>
      <c r="C8" s="597"/>
      <c r="D8" s="591" t="s">
        <v>758</v>
      </c>
      <c r="E8" s="1490">
        <f>E9+E10</f>
        <v>2524</v>
      </c>
      <c r="F8" s="1491"/>
      <c r="G8" s="598">
        <f>G9+G10</f>
        <v>246743.65999999997</v>
      </c>
    </row>
    <row r="9" spans="1:7" ht="66" customHeight="1">
      <c r="A9" s="599"/>
      <c r="B9" s="573" t="s">
        <v>287</v>
      </c>
      <c r="C9" s="578" t="s">
        <v>756</v>
      </c>
      <c r="D9" s="579" t="s">
        <v>758</v>
      </c>
      <c r="E9" s="1492">
        <v>380</v>
      </c>
      <c r="F9" s="1493"/>
      <c r="G9" s="600">
        <v>48962.36</v>
      </c>
    </row>
    <row r="10" spans="1:7" ht="33.75" customHeight="1" thickBot="1">
      <c r="A10" s="601"/>
      <c r="B10" s="574" t="s">
        <v>700</v>
      </c>
      <c r="C10" s="575" t="s">
        <v>756</v>
      </c>
      <c r="D10" s="576" t="s">
        <v>758</v>
      </c>
      <c r="E10" s="1494">
        <f>627+340+387+419+371</f>
        <v>2144</v>
      </c>
      <c r="F10" s="1495"/>
      <c r="G10" s="602">
        <f>56686.45+30855.92+35077.96+40747.71+34413.26</f>
        <v>197781.3</v>
      </c>
    </row>
    <row r="11" spans="1:7" ht="36.75" customHeight="1" thickBot="1">
      <c r="A11" s="596">
        <v>2</v>
      </c>
      <c r="B11" s="580" t="s">
        <v>701</v>
      </c>
      <c r="C11" s="592"/>
      <c r="D11" s="591" t="s">
        <v>711</v>
      </c>
      <c r="E11" s="1490">
        <f>E12+E13</f>
        <v>306800</v>
      </c>
      <c r="F11" s="1491"/>
      <c r="G11" s="598">
        <f>G12+G13</f>
        <v>351441.74</v>
      </c>
    </row>
    <row r="12" spans="1:7" ht="63" customHeight="1">
      <c r="A12" s="599"/>
      <c r="B12" s="581" t="s">
        <v>288</v>
      </c>
      <c r="C12" s="578" t="s">
        <v>756</v>
      </c>
      <c r="D12" s="579" t="s">
        <v>711</v>
      </c>
      <c r="E12" s="1492">
        <v>62976</v>
      </c>
      <c r="F12" s="1493"/>
      <c r="G12" s="600">
        <v>61490.91</v>
      </c>
    </row>
    <row r="13" spans="1:7" ht="32.25" customHeight="1" thickBot="1">
      <c r="A13" s="601"/>
      <c r="B13" s="574" t="s">
        <v>702</v>
      </c>
      <c r="C13" s="575" t="s">
        <v>756</v>
      </c>
      <c r="D13" s="297" t="s">
        <v>711</v>
      </c>
      <c r="E13" s="1499">
        <f>14789+43830+45300+72401+67504</f>
        <v>243824</v>
      </c>
      <c r="F13" s="1500"/>
      <c r="G13" s="602">
        <f>17569.55+44259.44+48807.06+92523.25+86791.53</f>
        <v>289950.82999999996</v>
      </c>
    </row>
    <row r="14" spans="1:7" ht="22.5" customHeight="1" thickBot="1">
      <c r="A14" s="596">
        <v>3</v>
      </c>
      <c r="B14" s="580" t="s">
        <v>703</v>
      </c>
      <c r="C14" s="593"/>
      <c r="D14" s="591" t="s">
        <v>758</v>
      </c>
      <c r="E14" s="1490">
        <f>E15+E16</f>
        <v>2692</v>
      </c>
      <c r="F14" s="1491"/>
      <c r="G14" s="603">
        <f>G15+G16</f>
        <v>158074.09999999998</v>
      </c>
    </row>
    <row r="15" spans="1:7" ht="30" customHeight="1">
      <c r="A15" s="599"/>
      <c r="B15" s="577" t="s">
        <v>704</v>
      </c>
      <c r="C15" s="578" t="s">
        <v>756</v>
      </c>
      <c r="D15" s="579" t="s">
        <v>758</v>
      </c>
      <c r="E15" s="1492">
        <f>430+221</f>
        <v>651</v>
      </c>
      <c r="F15" s="1493"/>
      <c r="G15" s="604">
        <v>40931.61</v>
      </c>
    </row>
    <row r="16" spans="1:7" ht="21.75" customHeight="1" thickBot="1">
      <c r="A16" s="601"/>
      <c r="B16" s="574" t="s">
        <v>190</v>
      </c>
      <c r="C16" s="575" t="s">
        <v>756</v>
      </c>
      <c r="D16" s="576" t="s">
        <v>758</v>
      </c>
      <c r="E16" s="1499">
        <f>50+133+197+330+332+503+496</f>
        <v>2041</v>
      </c>
      <c r="F16" s="1500"/>
      <c r="G16" s="605">
        <f>9377.67+12564.28+21046.78+21174.33+27722.22+25257.21</f>
        <v>117142.48999999999</v>
      </c>
    </row>
    <row r="17" spans="1:7" ht="28.5" customHeight="1" thickBot="1">
      <c r="A17" s="596">
        <v>4</v>
      </c>
      <c r="B17" s="580" t="s">
        <v>705</v>
      </c>
      <c r="C17" s="593"/>
      <c r="D17" s="591" t="s">
        <v>713</v>
      </c>
      <c r="E17" s="1516">
        <f>E18+E19</f>
        <v>366</v>
      </c>
      <c r="F17" s="1517"/>
      <c r="G17" s="603">
        <f>G18+G19</f>
        <v>203129.7</v>
      </c>
    </row>
    <row r="18" spans="1:7" ht="75" customHeight="1">
      <c r="A18" s="1060"/>
      <c r="B18" s="1061" t="s">
        <v>286</v>
      </c>
      <c r="C18" s="896" t="s">
        <v>733</v>
      </c>
      <c r="D18" s="297" t="s">
        <v>713</v>
      </c>
      <c r="E18" s="1518" t="s">
        <v>34</v>
      </c>
      <c r="F18" s="1519"/>
      <c r="G18" s="1062">
        <v>82510.14</v>
      </c>
    </row>
    <row r="19" spans="1:9" ht="37.5" customHeight="1" thickBot="1">
      <c r="A19" s="900"/>
      <c r="B19" s="901" t="s">
        <v>706</v>
      </c>
      <c r="C19" s="897" t="s">
        <v>733</v>
      </c>
      <c r="D19" s="902" t="s">
        <v>713</v>
      </c>
      <c r="E19" s="1511">
        <f>30+125+27+61</f>
        <v>243</v>
      </c>
      <c r="F19" s="1512"/>
      <c r="G19" s="903">
        <f>14440.76+40888.88+18224.32+47065.6</f>
        <v>120619.56</v>
      </c>
      <c r="I19" s="3"/>
    </row>
    <row r="20" spans="1:7" ht="28.5" customHeight="1" thickBot="1">
      <c r="A20" s="606">
        <v>5</v>
      </c>
      <c r="B20" s="607" t="s">
        <v>35</v>
      </c>
      <c r="C20" s="608" t="s">
        <v>733</v>
      </c>
      <c r="D20" s="609" t="s">
        <v>711</v>
      </c>
      <c r="E20" s="1513">
        <f>51134+43392+67914+134955+15582+41323</f>
        <v>354300</v>
      </c>
      <c r="F20" s="1514"/>
      <c r="G20" s="610">
        <f>30491.11+28219.1+44189.52+87812.08+10139.11+26876.26</f>
        <v>227727.18</v>
      </c>
    </row>
    <row r="21" spans="1:9" ht="28.5" customHeight="1">
      <c r="A21" s="909">
        <v>6</v>
      </c>
      <c r="B21" s="910" t="s">
        <v>289</v>
      </c>
      <c r="C21" s="911" t="s">
        <v>292</v>
      </c>
      <c r="D21" s="912" t="s">
        <v>293</v>
      </c>
      <c r="E21" s="1520">
        <f>E22+E23</f>
        <v>487.5</v>
      </c>
      <c r="F21" s="1520"/>
      <c r="G21" s="913">
        <f>G22+G23</f>
        <v>265379.4</v>
      </c>
      <c r="I21" s="3"/>
    </row>
    <row r="22" spans="1:7" ht="16.5" customHeight="1">
      <c r="A22" s="898"/>
      <c r="B22" s="895" t="s">
        <v>290</v>
      </c>
      <c r="C22" s="896"/>
      <c r="D22" s="908"/>
      <c r="E22" s="1521">
        <f>61.65+82.2+117.6</f>
        <v>261.45</v>
      </c>
      <c r="F22" s="1522"/>
      <c r="G22" s="907">
        <f>102691.64+83952.29</f>
        <v>186643.93</v>
      </c>
    </row>
    <row r="23" spans="1:7" ht="21" customHeight="1" thickBot="1">
      <c r="A23" s="904"/>
      <c r="B23" s="905" t="s">
        <v>291</v>
      </c>
      <c r="C23" s="897"/>
      <c r="D23" s="906"/>
      <c r="E23" s="1523">
        <f>61.65+82.2+82.2</f>
        <v>226.05</v>
      </c>
      <c r="F23" s="1524"/>
      <c r="G23" s="903">
        <f>50104.39+28631.08</f>
        <v>78735.47</v>
      </c>
    </row>
    <row r="24" spans="1:2" ht="12.75">
      <c r="A24" s="899"/>
      <c r="B24" t="s">
        <v>757</v>
      </c>
    </row>
    <row r="25" spans="1:7" ht="32.25" customHeight="1">
      <c r="A25" s="1515" t="s">
        <v>295</v>
      </c>
      <c r="B25" s="1515"/>
      <c r="D25" s="183"/>
      <c r="E25" s="183"/>
      <c r="G25" s="585" t="s">
        <v>745</v>
      </c>
    </row>
    <row r="27" ht="12.75">
      <c r="B27" t="s">
        <v>469</v>
      </c>
    </row>
  </sheetData>
  <sheetProtection/>
  <mergeCells count="28">
    <mergeCell ref="E19:F19"/>
    <mergeCell ref="E20:F20"/>
    <mergeCell ref="A25:B25"/>
    <mergeCell ref="E15:F15"/>
    <mergeCell ref="E16:F16"/>
    <mergeCell ref="E17:F17"/>
    <mergeCell ref="E18:F18"/>
    <mergeCell ref="E21:F21"/>
    <mergeCell ref="E22:F22"/>
    <mergeCell ref="E23:F23"/>
    <mergeCell ref="A1:G1"/>
    <mergeCell ref="A2:G2"/>
    <mergeCell ref="E12:F12"/>
    <mergeCell ref="E13:F13"/>
    <mergeCell ref="E5:F6"/>
    <mergeCell ref="G5:G6"/>
    <mergeCell ref="E7:F7"/>
    <mergeCell ref="E8:F8"/>
    <mergeCell ref="A5:A6"/>
    <mergeCell ref="B5:B6"/>
    <mergeCell ref="A3:G3"/>
    <mergeCell ref="A4:G4"/>
    <mergeCell ref="E14:F14"/>
    <mergeCell ref="E9:F9"/>
    <mergeCell ref="E10:F10"/>
    <mergeCell ref="E11:F11"/>
    <mergeCell ref="C5:C6"/>
    <mergeCell ref="D5:D6"/>
  </mergeCells>
  <printOptions horizontalCentered="1"/>
  <pageMargins left="0.3937007874015748" right="0" top="0.3937007874015748" bottom="0.3937007874015748" header="0" footer="0"/>
  <pageSetup horizontalDpi="600" verticalDpi="600" orientation="landscape" paperSize="9" scale="86" r:id="rId1"/>
  <headerFooter alignWithMargins="0">
    <oddFooter>&amp;C&amp;P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A413"/>
  <sheetViews>
    <sheetView zoomScaleSheetLayoutView="100" zoomScalePageLayoutView="0" workbookViewId="0" topLeftCell="D15">
      <selection activeCell="F315" sqref="F315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15.625" style="0" customWidth="1"/>
    <col min="4" max="4" width="18.00390625" style="0" customWidth="1"/>
    <col min="5" max="5" width="5.625" style="0" customWidth="1"/>
    <col min="6" max="6" width="15.00390625" style="0" customWidth="1"/>
    <col min="7" max="7" width="10.25390625" style="0" customWidth="1"/>
    <col min="8" max="8" width="18.875" style="0" customWidth="1"/>
    <col min="9" max="9" width="11.75390625" style="0" customWidth="1"/>
    <col min="10" max="10" width="13.375" style="0" customWidth="1"/>
    <col min="11" max="11" width="13.75390625" style="0" customWidth="1"/>
    <col min="12" max="12" width="16.625" style="0" customWidth="1"/>
    <col min="13" max="13" width="13.625" style="0" customWidth="1"/>
    <col min="14" max="14" width="14.25390625" style="0" customWidth="1"/>
    <col min="15" max="15" width="13.375" style="32" customWidth="1"/>
    <col min="16" max="16" width="12.375" style="0" customWidth="1"/>
    <col min="17" max="17" width="17.125" style="0" customWidth="1"/>
    <col min="18" max="19" width="12.375" style="0" customWidth="1"/>
    <col min="20" max="20" width="14.125" style="0" customWidth="1"/>
    <col min="21" max="21" width="12.00390625" style="0" customWidth="1"/>
  </cols>
  <sheetData>
    <row r="2" spans="2:12" ht="27.75">
      <c r="B2" s="1551" t="s">
        <v>778</v>
      </c>
      <c r="C2" s="1551"/>
      <c r="D2" s="1551"/>
      <c r="E2" s="1551"/>
      <c r="F2" s="1551"/>
      <c r="G2" s="1551"/>
      <c r="H2" s="1551"/>
      <c r="I2" s="1551"/>
      <c r="J2" s="1551"/>
      <c r="K2" s="1551"/>
      <c r="L2" s="1551"/>
    </row>
    <row r="3" spans="2:12" ht="23.25">
      <c r="B3" s="1552" t="s">
        <v>747</v>
      </c>
      <c r="C3" s="1552"/>
      <c r="D3" s="1552"/>
      <c r="E3" s="1552"/>
      <c r="F3" s="1552"/>
      <c r="G3" s="1552"/>
      <c r="H3" s="1552"/>
      <c r="I3" s="1552"/>
      <c r="J3" s="1552"/>
      <c r="K3" s="1552"/>
      <c r="L3" s="1552"/>
    </row>
    <row r="5" spans="2:12" ht="23.25" customHeight="1">
      <c r="B5" s="1554" t="s">
        <v>761</v>
      </c>
      <c r="C5" s="1554"/>
      <c r="D5" s="1554"/>
      <c r="F5" s="1556" t="s">
        <v>721</v>
      </c>
      <c r="G5" s="1556"/>
      <c r="H5" s="1556"/>
      <c r="I5" s="29"/>
      <c r="K5" s="1555"/>
      <c r="L5" s="1555"/>
    </row>
    <row r="6" spans="1:12" ht="25.5" customHeight="1">
      <c r="A6" s="1"/>
      <c r="E6" s="1"/>
      <c r="F6" s="1553"/>
      <c r="G6" s="1553"/>
      <c r="H6" s="1553"/>
      <c r="I6" s="1"/>
      <c r="J6" s="1"/>
      <c r="K6" s="1557"/>
      <c r="L6" s="1557"/>
    </row>
    <row r="7" spans="1:27" ht="15" customHeight="1" thickBot="1">
      <c r="A7" s="1"/>
      <c r="B7" s="103"/>
      <c r="C7" s="86"/>
      <c r="D7" s="23"/>
      <c r="E7" s="23"/>
      <c r="F7" s="304">
        <v>5326.82</v>
      </c>
      <c r="G7" s="1532" t="s">
        <v>717</v>
      </c>
      <c r="H7" s="58" t="s">
        <v>742</v>
      </c>
      <c r="I7" s="23"/>
      <c r="J7" s="23"/>
      <c r="K7" s="8"/>
      <c r="L7" s="23"/>
      <c r="R7" s="23"/>
      <c r="S7" s="8"/>
      <c r="T7" s="2"/>
      <c r="U7" s="23"/>
      <c r="V7" s="23"/>
      <c r="W7" s="8"/>
      <c r="X7" s="45"/>
      <c r="Y7" s="23"/>
      <c r="Z7" s="23"/>
      <c r="AA7" s="23"/>
    </row>
    <row r="8" spans="1:27" ht="14.25">
      <c r="A8" s="1"/>
      <c r="B8" s="103"/>
      <c r="C8" s="86"/>
      <c r="D8" s="23"/>
      <c r="E8" s="23"/>
      <c r="F8" s="304">
        <v>31169.94</v>
      </c>
      <c r="G8" s="1532"/>
      <c r="H8" s="213" t="s">
        <v>779</v>
      </c>
      <c r="I8" s="23"/>
      <c r="J8" s="23"/>
      <c r="K8" s="150" t="s">
        <v>717</v>
      </c>
      <c r="L8" s="23"/>
      <c r="R8" s="23"/>
      <c r="S8" s="8"/>
      <c r="T8" s="2"/>
      <c r="U8" s="23"/>
      <c r="V8" s="23"/>
      <c r="W8" s="8"/>
      <c r="X8" s="45"/>
      <c r="Y8" s="23"/>
      <c r="Z8" s="23"/>
      <c r="AA8" s="23"/>
    </row>
    <row r="9" spans="1:27" ht="14.25">
      <c r="A9" s="1"/>
      <c r="B9" s="103"/>
      <c r="C9" s="86"/>
      <c r="D9" s="23"/>
      <c r="E9" s="23"/>
      <c r="F9" s="304">
        <v>13493.04</v>
      </c>
      <c r="G9" s="1532"/>
      <c r="H9" s="46" t="s">
        <v>780</v>
      </c>
      <c r="I9" s="23"/>
      <c r="J9" s="398" t="s">
        <v>773</v>
      </c>
      <c r="K9" s="64">
        <v>2111.212</v>
      </c>
      <c r="L9" s="73">
        <v>5326.82</v>
      </c>
      <c r="M9" s="73">
        <v>5326.82</v>
      </c>
      <c r="R9" s="23"/>
      <c r="S9" s="8"/>
      <c r="T9" s="2"/>
      <c r="U9" s="23"/>
      <c r="V9" s="23"/>
      <c r="W9" s="8"/>
      <c r="X9" s="45"/>
      <c r="Y9" s="23"/>
      <c r="Z9" s="23"/>
      <c r="AA9" s="23"/>
    </row>
    <row r="10" spans="1:27" ht="15" thickBot="1">
      <c r="A10" s="1"/>
      <c r="B10" s="103"/>
      <c r="C10" s="86"/>
      <c r="D10" s="23"/>
      <c r="E10" s="23"/>
      <c r="F10" s="304">
        <v>6858.68</v>
      </c>
      <c r="G10" s="1532"/>
      <c r="H10" s="46" t="s">
        <v>724</v>
      </c>
      <c r="I10" s="23"/>
      <c r="J10" s="46">
        <v>100203</v>
      </c>
      <c r="K10" s="46">
        <v>2240</v>
      </c>
      <c r="L10" s="224">
        <v>51521.66</v>
      </c>
      <c r="M10" s="224">
        <v>51521.66</v>
      </c>
      <c r="P10" s="3">
        <f>F10+F22+F37+F68+F101</f>
        <v>105648.81</v>
      </c>
      <c r="Q10" t="s">
        <v>724</v>
      </c>
      <c r="R10" s="23"/>
      <c r="S10" s="8"/>
      <c r="T10" s="2"/>
      <c r="U10" s="23"/>
      <c r="V10" s="23"/>
      <c r="W10" s="8"/>
      <c r="X10" s="45"/>
      <c r="Y10" s="23"/>
      <c r="Z10" s="23"/>
      <c r="AA10" s="23"/>
    </row>
    <row r="11" spans="1:27" ht="15.75" thickBot="1">
      <c r="A11" s="1" t="s">
        <v>862</v>
      </c>
      <c r="B11" s="103"/>
      <c r="C11" s="86"/>
      <c r="D11" s="763">
        <v>1212.6</v>
      </c>
      <c r="E11" s="23"/>
      <c r="F11" s="304">
        <v>1212.6</v>
      </c>
      <c r="G11" s="1532"/>
      <c r="H11" s="1529" t="s">
        <v>731</v>
      </c>
      <c r="I11" s="23"/>
      <c r="J11" s="81">
        <v>100302</v>
      </c>
      <c r="K11" s="81">
        <v>2240</v>
      </c>
      <c r="L11" s="74">
        <f>F12+F13+F14+F15+F16+F17+F11</f>
        <v>13180.480000000001</v>
      </c>
      <c r="M11" s="764">
        <f>F12+F13+F14+F15+F16+F17</f>
        <v>11967.880000000001</v>
      </c>
      <c r="P11" s="3">
        <f>F8+F21+F36+F100</f>
        <v>79060.46</v>
      </c>
      <c r="Q11" t="s">
        <v>749</v>
      </c>
      <c r="R11" s="23"/>
      <c r="S11" s="8"/>
      <c r="T11" s="2"/>
      <c r="U11" s="23"/>
      <c r="V11" s="23"/>
      <c r="W11" s="8"/>
      <c r="X11" s="45"/>
      <c r="Y11" s="23"/>
      <c r="Z11" s="23"/>
      <c r="AA11" s="23"/>
    </row>
    <row r="12" spans="1:27" ht="14.25" customHeight="1">
      <c r="A12" s="1"/>
      <c r="B12" s="103"/>
      <c r="C12" s="86"/>
      <c r="D12" s="23"/>
      <c r="E12" s="23"/>
      <c r="F12" s="304">
        <v>226.38</v>
      </c>
      <c r="G12" s="1532"/>
      <c r="H12" s="1530"/>
      <c r="I12" s="23"/>
      <c r="J12" s="23"/>
      <c r="K12" s="8"/>
      <c r="L12" s="349">
        <f>SUM(L9:L11)</f>
        <v>70028.96</v>
      </c>
      <c r="M12" s="307">
        <f>SUM(M9:M11)</f>
        <v>68816.36</v>
      </c>
      <c r="O12" s="43">
        <f>F10+F22+F37+F68+F101</f>
        <v>105648.81</v>
      </c>
      <c r="R12" s="23"/>
      <c r="S12" s="8"/>
      <c r="T12" s="2"/>
      <c r="U12" s="23"/>
      <c r="V12" s="23"/>
      <c r="W12" s="8"/>
      <c r="X12" s="45"/>
      <c r="Y12" s="23"/>
      <c r="Z12" s="23"/>
      <c r="AA12" s="23"/>
    </row>
    <row r="13" spans="1:27" ht="14.25">
      <c r="A13" s="1"/>
      <c r="B13" s="103"/>
      <c r="C13" s="86"/>
      <c r="D13" s="23"/>
      <c r="E13" s="23"/>
      <c r="F13" s="304">
        <v>123.49</v>
      </c>
      <c r="G13" s="1532"/>
      <c r="H13" s="1530"/>
      <c r="I13" s="23"/>
      <c r="R13" s="23"/>
      <c r="S13" s="8"/>
      <c r="T13" s="2"/>
      <c r="U13" s="23"/>
      <c r="V13" s="23"/>
      <c r="W13" s="8"/>
      <c r="X13" s="45"/>
      <c r="Y13" s="23"/>
      <c r="Z13" s="23"/>
      <c r="AA13" s="23"/>
    </row>
    <row r="14" spans="1:27" ht="14.25">
      <c r="A14" s="1"/>
      <c r="B14" s="103"/>
      <c r="C14" s="86"/>
      <c r="D14" s="23"/>
      <c r="E14" s="23"/>
      <c r="F14" s="304">
        <v>185.22</v>
      </c>
      <c r="G14" s="1532"/>
      <c r="H14" s="1530"/>
      <c r="I14" s="23"/>
      <c r="J14" s="3">
        <f>F11+F12+F13+F14+F15</f>
        <v>2352.73</v>
      </c>
      <c r="R14" s="23"/>
      <c r="S14" s="8"/>
      <c r="T14" s="2"/>
      <c r="U14" s="23"/>
      <c r="V14" s="23"/>
      <c r="W14" s="8"/>
      <c r="X14" s="45"/>
      <c r="Y14" s="23"/>
      <c r="Z14" s="23"/>
      <c r="AA14" s="23"/>
    </row>
    <row r="15" spans="1:27" ht="15" customHeight="1">
      <c r="A15" s="66"/>
      <c r="B15" s="103"/>
      <c r="C15" s="86"/>
      <c r="D15" s="23"/>
      <c r="E15" s="23"/>
      <c r="F15" s="215">
        <v>605.04</v>
      </c>
      <c r="G15" s="1532"/>
      <c r="H15" s="1531"/>
      <c r="I15" s="23"/>
      <c r="R15" s="23"/>
      <c r="S15" s="23"/>
      <c r="T15" s="2"/>
      <c r="U15" s="23"/>
      <c r="V15" s="23"/>
      <c r="W15" s="23"/>
      <c r="X15" s="45"/>
      <c r="Y15" s="23"/>
      <c r="Z15" s="23"/>
      <c r="AA15" s="23"/>
    </row>
    <row r="16" spans="1:27" ht="15" customHeight="1">
      <c r="A16" s="63"/>
      <c r="B16" s="31"/>
      <c r="C16" s="155"/>
      <c r="D16" s="23"/>
      <c r="E16" s="23"/>
      <c r="F16" s="88">
        <v>5943.39</v>
      </c>
      <c r="G16" s="1532"/>
      <c r="H16" s="220" t="s">
        <v>723</v>
      </c>
      <c r="I16" s="23"/>
      <c r="J16" s="23"/>
      <c r="K16" s="23"/>
      <c r="L16" s="45"/>
      <c r="R16" s="23"/>
      <c r="S16" s="23"/>
      <c r="T16" s="2"/>
      <c r="U16" s="23"/>
      <c r="V16" s="23"/>
      <c r="W16" s="23"/>
      <c r="X16" s="45"/>
      <c r="Y16" s="23"/>
      <c r="Z16" s="23"/>
      <c r="AA16" s="23"/>
    </row>
    <row r="17" spans="1:27" ht="15" thickBot="1">
      <c r="A17" s="63"/>
      <c r="B17" s="31"/>
      <c r="C17" s="156"/>
      <c r="D17" s="23"/>
      <c r="F17" s="215">
        <v>4884.36</v>
      </c>
      <c r="G17" s="1533"/>
      <c r="H17" s="214"/>
      <c r="J17" s="3"/>
      <c r="R17" s="23"/>
      <c r="S17" s="23"/>
      <c r="T17" s="45"/>
      <c r="U17" s="23"/>
      <c r="V17" s="23"/>
      <c r="W17" s="23"/>
      <c r="X17" s="45"/>
      <c r="Y17" s="23"/>
      <c r="Z17" s="23"/>
      <c r="AA17" s="23"/>
    </row>
    <row r="18" spans="1:9" ht="18" customHeight="1" thickBot="1">
      <c r="A18" s="63"/>
      <c r="B18" s="31"/>
      <c r="C18" s="116"/>
      <c r="D18" s="45"/>
      <c r="F18" s="216">
        <f>SUM(F7:F17)</f>
        <v>70028.95999999999</v>
      </c>
      <c r="G18" s="17"/>
      <c r="H18" s="18" t="s">
        <v>726</v>
      </c>
      <c r="I18" s="13"/>
    </row>
    <row r="19" spans="1:12" ht="18" customHeight="1" thickBot="1">
      <c r="A19" s="63"/>
      <c r="B19" s="31"/>
      <c r="C19" s="116"/>
      <c r="D19" s="23"/>
      <c r="E19" s="15"/>
      <c r="F19" s="92">
        <f>15189.82/2</f>
        <v>7594.91</v>
      </c>
      <c r="G19" s="97"/>
      <c r="H19" s="276" t="s">
        <v>742</v>
      </c>
      <c r="I19" s="1"/>
      <c r="J19" s="14"/>
      <c r="K19" s="79" t="s">
        <v>751</v>
      </c>
      <c r="L19" s="14"/>
    </row>
    <row r="20" spans="1:13" ht="18" customHeight="1">
      <c r="A20" s="63"/>
      <c r="B20" s="31"/>
      <c r="C20" s="116"/>
      <c r="D20" s="23"/>
      <c r="E20" s="1"/>
      <c r="F20" s="37">
        <v>1500</v>
      </c>
      <c r="G20" s="97"/>
      <c r="H20" s="219" t="s">
        <v>781</v>
      </c>
      <c r="I20" s="1"/>
      <c r="J20" s="398" t="s">
        <v>773</v>
      </c>
      <c r="K20" s="64">
        <v>2111.212</v>
      </c>
      <c r="L20" s="120">
        <v>7594.91</v>
      </c>
      <c r="M20" s="120">
        <v>7594.91</v>
      </c>
    </row>
    <row r="21" spans="1:13" ht="14.25">
      <c r="A21" s="63"/>
      <c r="B21" s="31"/>
      <c r="C21" s="116"/>
      <c r="D21" s="45"/>
      <c r="F21" s="88">
        <v>15404.14</v>
      </c>
      <c r="G21" s="1534" t="s">
        <v>751</v>
      </c>
      <c r="H21" s="52" t="s">
        <v>722</v>
      </c>
      <c r="J21" s="117">
        <v>100203</v>
      </c>
      <c r="K21" s="121">
        <v>2210</v>
      </c>
      <c r="L21" s="118">
        <v>1500</v>
      </c>
      <c r="M21" s="118">
        <v>1500</v>
      </c>
    </row>
    <row r="22" spans="1:13" ht="14.25">
      <c r="A22" s="63"/>
      <c r="B22" s="31"/>
      <c r="C22" s="116"/>
      <c r="D22" s="23"/>
      <c r="F22" s="89">
        <v>21942.56</v>
      </c>
      <c r="G22" s="1534"/>
      <c r="H22" s="52" t="s">
        <v>724</v>
      </c>
      <c r="J22" s="46">
        <v>100203</v>
      </c>
      <c r="K22" s="46">
        <v>2240</v>
      </c>
      <c r="L22" s="72">
        <f>F21+F22+F23+F28+F24+F25+F26+F27</f>
        <v>169797.05000000002</v>
      </c>
      <c r="M22" s="72">
        <f>F21+F22+F23+F24+F25+F26+F27+F28</f>
        <v>169797.05</v>
      </c>
    </row>
    <row r="23" spans="1:13" ht="14.25">
      <c r="A23" s="63"/>
      <c r="B23" s="31"/>
      <c r="C23" s="116"/>
      <c r="D23" s="23"/>
      <c r="F23" s="89">
        <v>13493.04</v>
      </c>
      <c r="G23" s="1534"/>
      <c r="H23" s="52" t="s">
        <v>792</v>
      </c>
      <c r="J23" s="222">
        <v>100302</v>
      </c>
      <c r="K23" s="222">
        <v>2240</v>
      </c>
      <c r="L23" s="223">
        <f>F29+F30+F31+F32</f>
        <v>10735.17</v>
      </c>
      <c r="M23" s="3">
        <f>F29+F30+F32</f>
        <v>9523.310000000001</v>
      </c>
    </row>
    <row r="24" spans="1:13" ht="14.25">
      <c r="A24" s="63"/>
      <c r="B24" s="31"/>
      <c r="C24" s="116"/>
      <c r="D24" s="23"/>
      <c r="F24" s="89">
        <v>62056.84</v>
      </c>
      <c r="G24" s="1534"/>
      <c r="H24" s="52" t="s">
        <v>787</v>
      </c>
      <c r="J24" s="23"/>
      <c r="K24" s="23"/>
      <c r="L24" s="350">
        <f>SUM(L20:L23)</f>
        <v>189627.13000000003</v>
      </c>
      <c r="M24" s="308">
        <f>SUM(M20:M23)</f>
        <v>188415.27</v>
      </c>
    </row>
    <row r="25" spans="1:12" ht="14.25">
      <c r="A25" s="63"/>
      <c r="B25" s="31"/>
      <c r="C25" s="116"/>
      <c r="D25" s="23"/>
      <c r="F25" s="89">
        <v>865.75</v>
      </c>
      <c r="G25" s="1534"/>
      <c r="H25" s="52" t="s">
        <v>788</v>
      </c>
      <c r="J25" s="23"/>
      <c r="K25" s="23"/>
      <c r="L25" s="45"/>
    </row>
    <row r="26" spans="1:12" ht="14.25">
      <c r="A26" s="63"/>
      <c r="B26" s="31"/>
      <c r="C26" s="116"/>
      <c r="D26" s="23"/>
      <c r="F26" s="89">
        <v>32757.91</v>
      </c>
      <c r="G26" s="1534"/>
      <c r="H26" s="52" t="s">
        <v>790</v>
      </c>
      <c r="J26" s="23"/>
      <c r="K26" s="23"/>
      <c r="L26" s="45"/>
    </row>
    <row r="27" spans="1:13" ht="14.25">
      <c r="A27" s="63"/>
      <c r="B27" s="31"/>
      <c r="C27" s="116"/>
      <c r="D27" s="23"/>
      <c r="F27" s="89">
        <v>457</v>
      </c>
      <c r="G27" s="1534"/>
      <c r="H27" s="52" t="s">
        <v>789</v>
      </c>
      <c r="J27" s="45"/>
      <c r="K27" s="23"/>
      <c r="L27" s="45"/>
      <c r="M27" t="s">
        <v>820</v>
      </c>
    </row>
    <row r="28" spans="1:12" ht="14.25" customHeight="1">
      <c r="A28" s="32"/>
      <c r="B28" s="31"/>
      <c r="C28" s="86"/>
      <c r="D28" s="23"/>
      <c r="E28" s="90"/>
      <c r="F28" s="88">
        <v>22819.81</v>
      </c>
      <c r="G28" s="1534"/>
      <c r="H28" s="52" t="s">
        <v>732</v>
      </c>
      <c r="I28" s="21"/>
      <c r="J28" s="45"/>
      <c r="K28" s="45">
        <f>L12+L24</f>
        <v>259656.09000000003</v>
      </c>
      <c r="L28" s="2" t="s">
        <v>718</v>
      </c>
    </row>
    <row r="29" spans="1:12" ht="14.25" customHeight="1">
      <c r="A29" s="32"/>
      <c r="B29" s="31"/>
      <c r="C29" s="86"/>
      <c r="D29" s="23"/>
      <c r="E29" s="90"/>
      <c r="F29" s="88">
        <v>5265.35</v>
      </c>
      <c r="G29" s="1534"/>
      <c r="H29" s="221" t="s">
        <v>723</v>
      </c>
      <c r="I29" s="21"/>
      <c r="K29" s="23"/>
      <c r="L29" s="45"/>
    </row>
    <row r="30" spans="1:12" ht="14.25" customHeight="1">
      <c r="A30" s="32"/>
      <c r="B30" s="31"/>
      <c r="C30" s="86"/>
      <c r="D30" s="23"/>
      <c r="E30" s="90"/>
      <c r="F30" s="88">
        <v>1208.58</v>
      </c>
      <c r="G30" s="1534"/>
      <c r="H30" s="1539" t="s">
        <v>731</v>
      </c>
      <c r="I30" s="21"/>
      <c r="J30" s="23"/>
      <c r="K30" s="23"/>
      <c r="L30" s="45"/>
    </row>
    <row r="31" spans="1:14" ht="14.25" customHeight="1">
      <c r="A31" s="32" t="s">
        <v>862</v>
      </c>
      <c r="B31" s="31"/>
      <c r="C31" s="86"/>
      <c r="D31" s="762">
        <v>1211.86</v>
      </c>
      <c r="E31" s="90"/>
      <c r="F31" s="348">
        <v>1211.86</v>
      </c>
      <c r="G31" s="1534"/>
      <c r="H31" s="1539"/>
      <c r="I31" s="21"/>
      <c r="J31" s="226" t="s">
        <v>782</v>
      </c>
      <c r="K31" s="4">
        <f>70028.96+197222.04</f>
        <v>267251</v>
      </c>
      <c r="L31" s="45" t="s">
        <v>791</v>
      </c>
      <c r="N31" s="3">
        <f>F33+D31</f>
        <v>190838.98999999996</v>
      </c>
    </row>
    <row r="32" spans="1:12" ht="14.25" customHeight="1" thickBot="1">
      <c r="A32" s="23"/>
      <c r="B32" s="99"/>
      <c r="C32" s="86"/>
      <c r="D32" s="23"/>
      <c r="E32" s="90"/>
      <c r="F32" s="87">
        <v>3049.38</v>
      </c>
      <c r="G32" s="1534"/>
      <c r="H32" s="1540"/>
      <c r="I32" s="21"/>
      <c r="J32" s="1"/>
      <c r="K32" s="45"/>
      <c r="L32" s="11"/>
    </row>
    <row r="33" spans="2:12" ht="14.25" customHeight="1" thickBot="1">
      <c r="B33" s="103"/>
      <c r="C33" s="86"/>
      <c r="D33" s="23"/>
      <c r="E33" s="16"/>
      <c r="F33" s="216">
        <f>SUM(F19:F32)</f>
        <v>189627.12999999998</v>
      </c>
      <c r="G33" s="36"/>
      <c r="H33" s="18" t="s">
        <v>725</v>
      </c>
      <c r="I33" s="13"/>
      <c r="J33" s="3"/>
      <c r="K33" s="25"/>
      <c r="L33" s="98"/>
    </row>
    <row r="34" spans="2:12" ht="14.25" customHeight="1">
      <c r="B34" s="103"/>
      <c r="C34" s="86"/>
      <c r="D34" s="23"/>
      <c r="E34" s="16"/>
      <c r="F34" s="754">
        <v>7616.84</v>
      </c>
      <c r="G34" s="1535" t="s">
        <v>718</v>
      </c>
      <c r="H34" s="129" t="s">
        <v>742</v>
      </c>
      <c r="I34" s="34"/>
      <c r="K34" s="25"/>
      <c r="L34" s="98"/>
    </row>
    <row r="35" spans="2:13" ht="14.25" customHeight="1" thickBot="1">
      <c r="B35" s="103"/>
      <c r="C35" s="86"/>
      <c r="D35" s="23"/>
      <c r="E35" s="16"/>
      <c r="F35" s="754">
        <v>19080.41</v>
      </c>
      <c r="G35" s="1536"/>
      <c r="H35" s="127" t="s">
        <v>813</v>
      </c>
      <c r="I35" s="1"/>
      <c r="K35" s="14"/>
      <c r="L35" s="14"/>
      <c r="M35" s="79" t="s">
        <v>718</v>
      </c>
    </row>
    <row r="36" spans="2:13" ht="14.25" customHeight="1">
      <c r="B36" s="104"/>
      <c r="C36" s="86"/>
      <c r="D36" s="23"/>
      <c r="F36" s="752">
        <v>14916.83</v>
      </c>
      <c r="G36" s="1536"/>
      <c r="H36" s="113" t="s">
        <v>749</v>
      </c>
      <c r="I36" s="114"/>
      <c r="K36">
        <v>100101</v>
      </c>
      <c r="L36">
        <v>3132</v>
      </c>
      <c r="M36" s="275"/>
    </row>
    <row r="37" spans="2:13" ht="14.25" customHeight="1">
      <c r="B37" s="103"/>
      <c r="C37" s="86"/>
      <c r="D37" s="23"/>
      <c r="F37" s="752">
        <v>20161.12</v>
      </c>
      <c r="G37" s="1536"/>
      <c r="H37" s="52" t="s">
        <v>724</v>
      </c>
      <c r="I37" s="40"/>
      <c r="K37">
        <v>100202</v>
      </c>
      <c r="L37">
        <v>2240</v>
      </c>
      <c r="M37" s="24"/>
    </row>
    <row r="38" spans="2:13" ht="14.25" customHeight="1">
      <c r="B38" s="104"/>
      <c r="C38" s="86"/>
      <c r="D38" s="23"/>
      <c r="E38" s="1"/>
      <c r="F38" s="752">
        <v>13945.53</v>
      </c>
      <c r="G38" s="1536"/>
      <c r="H38" s="127" t="s">
        <v>763</v>
      </c>
      <c r="I38" s="22"/>
      <c r="K38" s="398" t="s">
        <v>773</v>
      </c>
      <c r="L38" s="64">
        <v>2111.212</v>
      </c>
      <c r="M38" s="82">
        <v>7616.84</v>
      </c>
    </row>
    <row r="39" spans="2:13" ht="14.25" customHeight="1">
      <c r="B39" s="104"/>
      <c r="C39" s="86"/>
      <c r="D39" s="23"/>
      <c r="E39" s="1"/>
      <c r="F39" s="752">
        <v>59690.33</v>
      </c>
      <c r="G39" s="1536"/>
      <c r="H39" s="127" t="s">
        <v>814</v>
      </c>
      <c r="I39" s="22"/>
      <c r="K39" s="117">
        <v>100203</v>
      </c>
      <c r="L39" s="121">
        <v>2210</v>
      </c>
      <c r="M39" s="118">
        <v>500</v>
      </c>
    </row>
    <row r="40" spans="2:14" ht="14.25" customHeight="1">
      <c r="B40" s="104"/>
      <c r="C40" s="86"/>
      <c r="D40" s="23"/>
      <c r="E40" s="1"/>
      <c r="F40" s="752">
        <v>5860.49</v>
      </c>
      <c r="G40" s="1536"/>
      <c r="H40" s="52" t="s">
        <v>818</v>
      </c>
      <c r="I40" s="22"/>
      <c r="K40" s="46">
        <v>100203</v>
      </c>
      <c r="L40" s="46">
        <v>2240</v>
      </c>
      <c r="M40" s="72">
        <v>529449.34</v>
      </c>
      <c r="N40" s="3">
        <f>F35+F36+F37+F38+F39+F40+F41+F44+F42+F43+F45+F46+F47+F48</f>
        <v>529449.34</v>
      </c>
    </row>
    <row r="41" spans="2:14" ht="14.25" customHeight="1">
      <c r="B41" s="104"/>
      <c r="C41" s="86"/>
      <c r="D41" s="23"/>
      <c r="E41" s="1"/>
      <c r="F41" s="752">
        <v>5447.59</v>
      </c>
      <c r="G41" s="1536"/>
      <c r="H41" s="52" t="s">
        <v>819</v>
      </c>
      <c r="I41" s="22"/>
      <c r="K41" s="115">
        <v>100302</v>
      </c>
      <c r="L41" s="115">
        <v>2240</v>
      </c>
      <c r="M41" s="74">
        <f>6528.49+F52+F53</f>
        <v>11272.88</v>
      </c>
      <c r="N41" s="3">
        <f>F54</f>
        <v>6528.49</v>
      </c>
    </row>
    <row r="42" spans="2:14" ht="14.25" customHeight="1">
      <c r="B42" s="104"/>
      <c r="C42" s="86"/>
      <c r="D42" s="23"/>
      <c r="E42" s="1"/>
      <c r="F42" s="752">
        <v>12388.19</v>
      </c>
      <c r="G42" s="1536"/>
      <c r="H42" s="52" t="s">
        <v>276</v>
      </c>
      <c r="I42" s="22"/>
      <c r="K42" s="50">
        <v>170703</v>
      </c>
      <c r="L42" s="50">
        <v>2240</v>
      </c>
      <c r="M42" s="75">
        <v>375416.4</v>
      </c>
      <c r="N42" s="3">
        <f>F49+F50</f>
        <v>375416.4</v>
      </c>
    </row>
    <row r="43" spans="2:13" ht="14.25" customHeight="1">
      <c r="B43" s="104"/>
      <c r="C43" s="86"/>
      <c r="D43" s="23"/>
      <c r="E43" s="1"/>
      <c r="F43" s="752">
        <v>404.41</v>
      </c>
      <c r="G43" s="1536"/>
      <c r="H43" s="127" t="s">
        <v>845</v>
      </c>
      <c r="I43" s="22"/>
      <c r="K43" s="122">
        <v>170703</v>
      </c>
      <c r="L43" s="122">
        <v>3132</v>
      </c>
      <c r="M43" s="123"/>
    </row>
    <row r="44" spans="2:13" ht="14.25" customHeight="1">
      <c r="B44" s="104"/>
      <c r="C44" s="155"/>
      <c r="D44" s="23"/>
      <c r="E44" s="1"/>
      <c r="F44" s="752">
        <v>194398.8</v>
      </c>
      <c r="G44" s="1536"/>
      <c r="H44" s="127" t="s">
        <v>817</v>
      </c>
      <c r="I44" s="22"/>
      <c r="K44" s="137" t="s">
        <v>754</v>
      </c>
      <c r="L44" s="84">
        <v>3122</v>
      </c>
      <c r="M44" s="85"/>
    </row>
    <row r="45" spans="2:13" ht="14.25" customHeight="1">
      <c r="B45" s="104"/>
      <c r="C45" s="155"/>
      <c r="D45" s="23"/>
      <c r="E45" s="1"/>
      <c r="F45" s="752">
        <v>47850.25</v>
      </c>
      <c r="G45" s="1536"/>
      <c r="H45" s="44" t="s">
        <v>846</v>
      </c>
      <c r="I45" s="22"/>
      <c r="M45" s="351">
        <f>SUM(M36:M44)</f>
        <v>924255.46</v>
      </c>
    </row>
    <row r="46" spans="2:15" ht="14.25" customHeight="1">
      <c r="B46" s="104"/>
      <c r="C46" s="86"/>
      <c r="D46" s="23"/>
      <c r="E46" s="1"/>
      <c r="F46" s="752">
        <v>69421.51</v>
      </c>
      <c r="G46" s="1536"/>
      <c r="H46" s="44" t="s">
        <v>847</v>
      </c>
      <c r="I46" s="22"/>
      <c r="O46" s="32" t="s">
        <v>60</v>
      </c>
    </row>
    <row r="47" spans="2:13" ht="14.25" customHeight="1">
      <c r="B47" s="104"/>
      <c r="C47" s="86"/>
      <c r="D47" s="23"/>
      <c r="E47" s="1"/>
      <c r="F47" s="752">
        <v>64007.48</v>
      </c>
      <c r="G47" s="1536"/>
      <c r="H47" s="44" t="s">
        <v>848</v>
      </c>
      <c r="I47" s="22"/>
      <c r="K47" t="s">
        <v>770</v>
      </c>
      <c r="L47" s="3">
        <f>F18+F33+F55</f>
        <v>1183911.5499999998</v>
      </c>
      <c r="M47" s="308">
        <f>M12+M24+M45</f>
        <v>1181487.0899999999</v>
      </c>
    </row>
    <row r="48" spans="2:9" ht="14.25" customHeight="1">
      <c r="B48" s="104"/>
      <c r="C48" s="86"/>
      <c r="D48" s="23"/>
      <c r="E48" s="1"/>
      <c r="F48" s="752">
        <v>1876.4</v>
      </c>
      <c r="G48" s="1536"/>
      <c r="H48" s="44" t="s">
        <v>849</v>
      </c>
      <c r="I48" s="22"/>
    </row>
    <row r="49" spans="2:13" ht="14.25" customHeight="1">
      <c r="B49" s="103"/>
      <c r="C49" s="86"/>
      <c r="D49" s="23"/>
      <c r="F49" s="752">
        <v>184750.8</v>
      </c>
      <c r="G49" s="1536"/>
      <c r="H49" s="303" t="s">
        <v>815</v>
      </c>
      <c r="I49" s="1"/>
      <c r="M49" s="3"/>
    </row>
    <row r="50" spans="2:9" ht="14.25" customHeight="1">
      <c r="B50" s="103"/>
      <c r="C50" s="86"/>
      <c r="D50" s="23"/>
      <c r="F50" s="752">
        <v>190665.6</v>
      </c>
      <c r="G50" s="1536"/>
      <c r="H50" s="303" t="s">
        <v>816</v>
      </c>
      <c r="I50" s="1"/>
    </row>
    <row r="51" spans="2:13" ht="14.25" customHeight="1">
      <c r="B51" s="103"/>
      <c r="C51" s="86"/>
      <c r="D51" s="23"/>
      <c r="F51" s="752">
        <v>500</v>
      </c>
      <c r="G51" s="1536"/>
      <c r="H51" s="55" t="s">
        <v>753</v>
      </c>
      <c r="I51" s="1"/>
      <c r="K51" s="3">
        <f>F18+F33+F55</f>
        <v>1183911.5499999998</v>
      </c>
      <c r="L51" s="343" t="s">
        <v>852</v>
      </c>
      <c r="M51" s="12" t="s">
        <v>771</v>
      </c>
    </row>
    <row r="52" spans="2:9" ht="14.25" customHeight="1">
      <c r="B52" s="103"/>
      <c r="C52" s="86"/>
      <c r="D52" s="23"/>
      <c r="F52" s="752">
        <v>1208.58</v>
      </c>
      <c r="G52" s="1536"/>
      <c r="H52" s="57" t="s">
        <v>764</v>
      </c>
      <c r="I52" s="1"/>
    </row>
    <row r="53" spans="2:11" ht="14.25" customHeight="1">
      <c r="B53" s="103"/>
      <c r="C53" s="86"/>
      <c r="D53" s="23"/>
      <c r="F53" s="753">
        <f>3358.36+177.45</f>
        <v>3535.81</v>
      </c>
      <c r="G53" s="1536"/>
      <c r="H53" s="57" t="s">
        <v>764</v>
      </c>
      <c r="I53" s="1"/>
      <c r="K53" s="3"/>
    </row>
    <row r="54" spans="2:12" ht="14.25" customHeight="1" thickBot="1">
      <c r="B54" s="103"/>
      <c r="C54" s="86"/>
      <c r="D54" s="23"/>
      <c r="F54" s="758">
        <v>6528.49</v>
      </c>
      <c r="G54" s="1537"/>
      <c r="H54" s="57" t="s">
        <v>723</v>
      </c>
      <c r="I54" s="1"/>
      <c r="K54" s="25"/>
      <c r="L54" s="130"/>
    </row>
    <row r="55" spans="2:12" ht="18.75" customHeight="1" thickBot="1">
      <c r="B55" s="103"/>
      <c r="C55" s="105"/>
      <c r="D55" s="23"/>
      <c r="F55" s="225">
        <f>SUM(F34:F54)</f>
        <v>924255.46</v>
      </c>
      <c r="G55" s="19"/>
      <c r="H55" s="18" t="s">
        <v>727</v>
      </c>
      <c r="I55" s="13"/>
      <c r="K55" s="25"/>
      <c r="L55" s="98"/>
    </row>
    <row r="56" spans="2:12" ht="18.75" customHeight="1">
      <c r="B56" s="103"/>
      <c r="C56" s="105"/>
      <c r="D56" s="23"/>
      <c r="E56" s="15"/>
      <c r="F56" s="757">
        <v>7663.32</v>
      </c>
      <c r="G56" s="358"/>
      <c r="H56" s="54" t="s">
        <v>742</v>
      </c>
      <c r="I56" s="1"/>
      <c r="K56" s="25"/>
      <c r="L56" s="98"/>
    </row>
    <row r="57" spans="3:9" ht="14.25" customHeight="1">
      <c r="C57" s="86"/>
      <c r="F57" s="190">
        <v>500</v>
      </c>
      <c r="G57" s="1538" t="s">
        <v>750</v>
      </c>
      <c r="H57" s="55" t="s">
        <v>753</v>
      </c>
      <c r="I57" s="40"/>
    </row>
    <row r="58" spans="3:9" ht="14.25" customHeight="1">
      <c r="C58" s="86"/>
      <c r="F58" s="190">
        <v>67342.8</v>
      </c>
      <c r="G58" s="1538"/>
      <c r="H58" s="128" t="s">
        <v>924</v>
      </c>
      <c r="I58" s="40"/>
    </row>
    <row r="59" spans="4:17" ht="16.5" customHeight="1">
      <c r="D59" s="3"/>
      <c r="F59" s="190">
        <v>9377.67</v>
      </c>
      <c r="G59" s="1538"/>
      <c r="H59" s="52" t="s">
        <v>863</v>
      </c>
      <c r="I59" s="40"/>
      <c r="Q59" s="534"/>
    </row>
    <row r="60" spans="4:17" ht="33.75">
      <c r="D60" s="3"/>
      <c r="F60" s="190">
        <v>2555</v>
      </c>
      <c r="G60" s="1538"/>
      <c r="H60" s="347" t="s">
        <v>861</v>
      </c>
      <c r="I60" s="40"/>
      <c r="J60" s="32"/>
      <c r="K60" s="23"/>
      <c r="L60" s="226"/>
      <c r="Q60" s="534"/>
    </row>
    <row r="61" spans="6:17" ht="15" thickBot="1">
      <c r="F61" s="190">
        <v>2280.22</v>
      </c>
      <c r="G61" s="1538"/>
      <c r="H61" s="52" t="s">
        <v>864</v>
      </c>
      <c r="I61" s="40"/>
      <c r="J61" s="14"/>
      <c r="K61" s="79" t="s">
        <v>750</v>
      </c>
      <c r="L61" s="14"/>
      <c r="N61" s="14"/>
      <c r="O61" s="79" t="s">
        <v>932</v>
      </c>
      <c r="P61" s="537" t="s">
        <v>22</v>
      </c>
      <c r="Q61" s="534"/>
    </row>
    <row r="62" spans="6:17" ht="14.25">
      <c r="F62" s="190">
        <v>15039.65</v>
      </c>
      <c r="G62" s="1538"/>
      <c r="H62" s="52" t="s">
        <v>865</v>
      </c>
      <c r="I62" s="40"/>
      <c r="J62" s="398" t="s">
        <v>773</v>
      </c>
      <c r="K62" s="401">
        <v>2111.212</v>
      </c>
      <c r="L62" s="414">
        <v>7663.32</v>
      </c>
      <c r="N62" s="398" t="s">
        <v>773</v>
      </c>
      <c r="O62" s="64">
        <v>2111.212</v>
      </c>
      <c r="P62" s="82">
        <v>28201.89</v>
      </c>
      <c r="Q62" s="535"/>
    </row>
    <row r="63" spans="7:17" ht="12.75">
      <c r="G63" s="1538"/>
      <c r="I63" s="40"/>
      <c r="J63" s="117">
        <v>100203</v>
      </c>
      <c r="K63" s="404">
        <v>2210</v>
      </c>
      <c r="L63" s="416">
        <v>500</v>
      </c>
      <c r="N63" s="117">
        <v>100203</v>
      </c>
      <c r="O63" s="121">
        <v>2210</v>
      </c>
      <c r="P63" s="118">
        <v>2500</v>
      </c>
      <c r="Q63" s="534"/>
    </row>
    <row r="64" spans="6:17" ht="14.25">
      <c r="F64" s="191">
        <v>25073.4</v>
      </c>
      <c r="G64" s="1538"/>
      <c r="H64" s="52" t="s">
        <v>928</v>
      </c>
      <c r="I64" s="40"/>
      <c r="J64" s="46">
        <v>100203</v>
      </c>
      <c r="K64" s="405">
        <v>2240</v>
      </c>
      <c r="L64" s="417">
        <f>F59+F60+F61+F62+F58+F64+F65+F66+F67+F68+F69</f>
        <v>457297.3199999999</v>
      </c>
      <c r="N64" s="46">
        <v>100203</v>
      </c>
      <c r="O64" s="46">
        <v>2240</v>
      </c>
      <c r="P64" s="224">
        <v>1208065.37</v>
      </c>
      <c r="Q64" s="534"/>
    </row>
    <row r="65" spans="6:17" ht="14.25">
      <c r="F65" s="191">
        <v>78663.23</v>
      </c>
      <c r="G65" s="1538"/>
      <c r="H65" s="128" t="s">
        <v>930</v>
      </c>
      <c r="I65" s="40"/>
      <c r="J65" s="124">
        <v>100203</v>
      </c>
      <c r="K65" s="406">
        <v>3110</v>
      </c>
      <c r="L65" s="418">
        <v>0</v>
      </c>
      <c r="N65" s="124">
        <v>100203</v>
      </c>
      <c r="O65" s="124">
        <v>3110</v>
      </c>
      <c r="P65" s="397">
        <f>G105</f>
        <v>0</v>
      </c>
      <c r="Q65" s="534"/>
    </row>
    <row r="66" spans="6:17" ht="14.25">
      <c r="F66" s="191">
        <v>31292.03</v>
      </c>
      <c r="G66" s="1538"/>
      <c r="H66" s="128" t="s">
        <v>931</v>
      </c>
      <c r="I66" s="40"/>
      <c r="J66" s="49">
        <v>100203</v>
      </c>
      <c r="K66" s="407">
        <v>3132</v>
      </c>
      <c r="L66" s="419">
        <f>F70</f>
        <v>247791.19</v>
      </c>
      <c r="N66" s="49">
        <v>100203</v>
      </c>
      <c r="O66" s="49">
        <v>3132</v>
      </c>
      <c r="P66" s="393">
        <v>247791.19</v>
      </c>
      <c r="Q66" s="534"/>
    </row>
    <row r="67" spans="6:17" ht="14.25">
      <c r="F67" s="190">
        <v>168898.8</v>
      </c>
      <c r="G67" s="1538"/>
      <c r="H67" s="128" t="s">
        <v>929</v>
      </c>
      <c r="I67" s="40"/>
      <c r="J67" s="48">
        <v>100302</v>
      </c>
      <c r="K67" s="408">
        <v>2240</v>
      </c>
      <c r="L67" s="420">
        <f>F88+F89+F90+F91</f>
        <v>17898.35</v>
      </c>
      <c r="N67" s="48">
        <v>100302</v>
      </c>
      <c r="O67" s="48">
        <v>2240</v>
      </c>
      <c r="P67" s="394">
        <v>53086.88</v>
      </c>
      <c r="Q67" s="535"/>
    </row>
    <row r="68" spans="6:17" ht="15.75" customHeight="1">
      <c r="F68" s="211">
        <v>26283.41</v>
      </c>
      <c r="G68" s="1538"/>
      <c r="H68" s="52" t="s">
        <v>724</v>
      </c>
      <c r="I68" s="40"/>
      <c r="J68" s="50">
        <v>170703</v>
      </c>
      <c r="K68" s="409">
        <v>2240</v>
      </c>
      <c r="L68" s="421">
        <f>F71+F72+F73+F74+F76+F77</f>
        <v>393300</v>
      </c>
      <c r="M68" s="3"/>
      <c r="N68" s="50">
        <v>170703</v>
      </c>
      <c r="O68" s="50">
        <v>2240</v>
      </c>
      <c r="P68" s="395">
        <v>768716.4</v>
      </c>
      <c r="Q68" s="32"/>
    </row>
    <row r="69" spans="6:16" ht="14.25">
      <c r="F69" s="211">
        <v>30491.11</v>
      </c>
      <c r="G69" s="1538"/>
      <c r="H69" s="128" t="s">
        <v>755</v>
      </c>
      <c r="I69" s="40"/>
      <c r="J69" s="125">
        <v>170703</v>
      </c>
      <c r="K69" s="410">
        <v>3132</v>
      </c>
      <c r="L69" s="422">
        <f>F78+++F79+F80+F81+F82+F83+F84+F85+F86+F87</f>
        <v>1569192.3800000001</v>
      </c>
      <c r="M69" s="3"/>
      <c r="N69" s="125">
        <v>170703</v>
      </c>
      <c r="O69" s="125">
        <v>3132</v>
      </c>
      <c r="P69" s="396">
        <v>1569192.38</v>
      </c>
    </row>
    <row r="70" spans="6:16" ht="15" thickBot="1">
      <c r="F70" s="190">
        <v>247791.19</v>
      </c>
      <c r="G70" s="1538"/>
      <c r="H70" s="53" t="s">
        <v>860</v>
      </c>
      <c r="I70" s="40"/>
      <c r="J70" s="412" t="s">
        <v>754</v>
      </c>
      <c r="K70" s="413">
        <v>3122</v>
      </c>
      <c r="L70" s="423">
        <v>0</v>
      </c>
      <c r="M70" s="3"/>
      <c r="N70" s="412" t="s">
        <v>754</v>
      </c>
      <c r="O70" s="426">
        <v>3122</v>
      </c>
      <c r="P70" s="427">
        <f>G112+G114</f>
        <v>0</v>
      </c>
    </row>
    <row r="71" spans="6:16" ht="14.25">
      <c r="F71" s="211">
        <v>171988.8</v>
      </c>
      <c r="G71" s="1538"/>
      <c r="H71" s="303" t="s">
        <v>854</v>
      </c>
      <c r="I71" s="40"/>
      <c r="K71" s="411"/>
      <c r="L71" s="424">
        <f>SUM(L60:L70)</f>
        <v>2693642.5599999996</v>
      </c>
      <c r="O71"/>
      <c r="P71" s="181">
        <f>SUM(P62:P71)</f>
        <v>3877554.1099999994</v>
      </c>
    </row>
    <row r="72" spans="6:17" ht="14.25">
      <c r="F72" s="190">
        <v>152346</v>
      </c>
      <c r="G72" s="1538"/>
      <c r="H72" s="303" t="s">
        <v>855</v>
      </c>
      <c r="I72" s="40"/>
      <c r="K72" s="32"/>
      <c r="L72" s="4"/>
      <c r="Q72" s="3"/>
    </row>
    <row r="73" spans="6:17" ht="14.25">
      <c r="F73" s="190">
        <v>10792</v>
      </c>
      <c r="G73" s="1538"/>
      <c r="H73" s="303" t="s">
        <v>872</v>
      </c>
      <c r="I73" s="40"/>
      <c r="K73" s="32"/>
      <c r="L73" s="4"/>
      <c r="Q73" s="3"/>
    </row>
    <row r="74" spans="6:17" ht="14.25">
      <c r="F74" s="190">
        <v>21894</v>
      </c>
      <c r="G74" s="1538"/>
      <c r="H74" s="303" t="s">
        <v>925</v>
      </c>
      <c r="I74" s="40"/>
      <c r="Q74" s="3"/>
    </row>
    <row r="75" spans="6:17" ht="14.25">
      <c r="F75" s="89"/>
      <c r="G75" s="1538"/>
      <c r="H75" s="274"/>
      <c r="I75" s="40"/>
      <c r="Q75" s="3"/>
    </row>
    <row r="76" spans="6:17" ht="14.25">
      <c r="F76" s="190">
        <v>35389.2</v>
      </c>
      <c r="G76" s="1538"/>
      <c r="H76" s="303" t="s">
        <v>926</v>
      </c>
      <c r="I76" s="40"/>
      <c r="Q76" s="3"/>
    </row>
    <row r="77" spans="6:17" ht="14.25">
      <c r="F77" s="190">
        <v>890</v>
      </c>
      <c r="G77" s="1538"/>
      <c r="H77" s="303" t="s">
        <v>927</v>
      </c>
      <c r="I77" s="40"/>
      <c r="Q77" s="3"/>
    </row>
    <row r="78" spans="6:17" ht="14.25">
      <c r="F78" s="190">
        <v>5996.4</v>
      </c>
      <c r="G78" s="1538"/>
      <c r="H78" s="56" t="s">
        <v>869</v>
      </c>
      <c r="I78" s="40"/>
      <c r="Q78" s="3"/>
    </row>
    <row r="79" spans="6:17" ht="14.25">
      <c r="F79" s="190">
        <v>680325.89</v>
      </c>
      <c r="G79" s="1538"/>
      <c r="H79" s="56" t="s">
        <v>866</v>
      </c>
      <c r="I79" s="40"/>
      <c r="Q79" s="3"/>
    </row>
    <row r="80" spans="4:17" ht="14.25">
      <c r="D80" s="3"/>
      <c r="F80" s="190">
        <v>5288.4</v>
      </c>
      <c r="G80" s="1538"/>
      <c r="H80" s="56" t="s">
        <v>870</v>
      </c>
      <c r="I80" s="40"/>
      <c r="Q80" s="3"/>
    </row>
    <row r="81" spans="6:17" ht="14.25">
      <c r="F81" s="190">
        <v>260378.34</v>
      </c>
      <c r="G81" s="1538"/>
      <c r="H81" s="56" t="s">
        <v>867</v>
      </c>
      <c r="I81" s="40"/>
      <c r="J81" s="3"/>
      <c r="Q81" s="3"/>
    </row>
    <row r="82" spans="4:17" ht="14.25">
      <c r="D82" s="3"/>
      <c r="F82" s="190">
        <v>5940</v>
      </c>
      <c r="G82" s="1538"/>
      <c r="H82" s="56" t="s">
        <v>856</v>
      </c>
      <c r="I82" s="40"/>
      <c r="L82">
        <f>'[1]Лист1'!$G$40</f>
        <v>0</v>
      </c>
      <c r="Q82" s="3"/>
    </row>
    <row r="83" spans="6:17" ht="14.25">
      <c r="F83" s="190">
        <v>309293.96</v>
      </c>
      <c r="G83" s="1538"/>
      <c r="H83" s="56" t="s">
        <v>859</v>
      </c>
      <c r="I83" s="40"/>
      <c r="Q83" s="3"/>
    </row>
    <row r="84" spans="6:9" ht="14.25">
      <c r="F84" s="190">
        <v>5848.8</v>
      </c>
      <c r="G84" s="1538"/>
      <c r="H84" s="56" t="s">
        <v>857</v>
      </c>
      <c r="I84" s="40"/>
    </row>
    <row r="85" spans="6:9" ht="14.25">
      <c r="F85" s="190">
        <v>284198.59</v>
      </c>
      <c r="G85" s="1538"/>
      <c r="H85" s="56" t="s">
        <v>858</v>
      </c>
      <c r="I85" s="40"/>
    </row>
    <row r="86" spans="6:12" ht="14.25">
      <c r="F86" s="190">
        <v>5923.2</v>
      </c>
      <c r="G86" s="1538"/>
      <c r="H86" s="56" t="s">
        <v>868</v>
      </c>
      <c r="I86" s="40"/>
      <c r="L86" s="32"/>
    </row>
    <row r="87" spans="6:9" ht="14.25">
      <c r="F87" s="190">
        <v>5998.8</v>
      </c>
      <c r="G87" s="1538"/>
      <c r="H87" s="56" t="s">
        <v>871</v>
      </c>
      <c r="I87" s="40"/>
    </row>
    <row r="88" spans="6:13" ht="14.25">
      <c r="F88" s="190">
        <v>12857.91</v>
      </c>
      <c r="G88" s="1538"/>
      <c r="H88" s="756" t="s">
        <v>723</v>
      </c>
      <c r="I88" s="40"/>
      <c r="M88" s="1"/>
    </row>
    <row r="89" spans="6:13" ht="14.25">
      <c r="F89" s="190">
        <v>1483.22</v>
      </c>
      <c r="G89" s="1538"/>
      <c r="H89" s="1541" t="s">
        <v>873</v>
      </c>
      <c r="I89" s="40"/>
      <c r="L89" s="3"/>
      <c r="M89" s="1"/>
    </row>
    <row r="90" spans="6:13" ht="14.25">
      <c r="F90" s="190">
        <v>1483.22</v>
      </c>
      <c r="G90" s="1538"/>
      <c r="H90" s="1542"/>
      <c r="I90" s="40"/>
      <c r="M90" s="1"/>
    </row>
    <row r="91" spans="6:13" ht="15" thickBot="1">
      <c r="F91" s="211">
        <v>2074</v>
      </c>
      <c r="G91" s="1538"/>
      <c r="H91" s="1542"/>
      <c r="I91" s="40"/>
      <c r="K91" s="3"/>
      <c r="L91" s="100"/>
      <c r="M91" s="1"/>
    </row>
    <row r="92" spans="2:14" ht="16.5" customHeight="1" thickBot="1">
      <c r="B92" s="23"/>
      <c r="C92" s="23"/>
      <c r="D92" s="23"/>
      <c r="F92" s="638">
        <f>SUM(F56:F91)</f>
        <v>2693642.56</v>
      </c>
      <c r="G92" s="425"/>
      <c r="H92" s="163" t="s">
        <v>728</v>
      </c>
      <c r="I92" s="14"/>
      <c r="J92" s="1"/>
      <c r="K92" s="25"/>
      <c r="L92" s="538"/>
      <c r="M92" s="1"/>
      <c r="N92" s="1"/>
    </row>
    <row r="93" spans="2:13" ht="13.5" customHeight="1" thickBot="1">
      <c r="B93" s="23"/>
      <c r="F93" s="755">
        <f>14175.12/2</f>
        <v>7087.56</v>
      </c>
      <c r="G93" s="1547" t="s">
        <v>23</v>
      </c>
      <c r="H93" s="54" t="s">
        <v>742</v>
      </c>
      <c r="I93" s="1"/>
      <c r="K93" s="14"/>
      <c r="L93" s="79" t="s">
        <v>719</v>
      </c>
      <c r="M93" s="14"/>
    </row>
    <row r="94" spans="2:13" ht="13.5" customHeight="1">
      <c r="B94" s="23"/>
      <c r="F94" s="752">
        <v>82199.26</v>
      </c>
      <c r="G94" s="1548"/>
      <c r="H94" s="512" t="s">
        <v>958</v>
      </c>
      <c r="I94" s="428"/>
      <c r="J94" s="1" t="s">
        <v>765</v>
      </c>
      <c r="K94" s="398" t="s">
        <v>773</v>
      </c>
      <c r="L94" s="401">
        <v>2111.212</v>
      </c>
      <c r="M94" s="414">
        <f>F93</f>
        <v>7087.56</v>
      </c>
    </row>
    <row r="95" spans="2:13" ht="13.5" customHeight="1">
      <c r="B95" s="23"/>
      <c r="F95" s="752">
        <v>84493.18</v>
      </c>
      <c r="G95" s="1548"/>
      <c r="H95" s="512" t="s">
        <v>959</v>
      </c>
      <c r="I95" s="428"/>
      <c r="J95" s="1" t="s">
        <v>765</v>
      </c>
      <c r="K95" s="399">
        <v>100101</v>
      </c>
      <c r="L95" s="402"/>
      <c r="M95" s="513">
        <f>F94+F95+F96</f>
        <v>239039.52000000002</v>
      </c>
    </row>
    <row r="96" spans="2:13" ht="13.5" customHeight="1">
      <c r="B96" s="23"/>
      <c r="F96" s="752">
        <v>72347.08</v>
      </c>
      <c r="G96" s="1548"/>
      <c r="H96" s="512" t="s">
        <v>39</v>
      </c>
      <c r="I96" s="428"/>
      <c r="J96" s="1" t="s">
        <v>765</v>
      </c>
      <c r="K96" s="400">
        <v>100202</v>
      </c>
      <c r="L96" s="403"/>
      <c r="M96" s="415">
        <v>0</v>
      </c>
    </row>
    <row r="97" spans="2:13" ht="13.5" customHeight="1">
      <c r="B97" s="23"/>
      <c r="F97" s="752">
        <v>0</v>
      </c>
      <c r="G97" s="1548"/>
      <c r="H97" s="429" t="s">
        <v>933</v>
      </c>
      <c r="I97" s="428"/>
      <c r="J97" s="1"/>
      <c r="K97" s="117">
        <v>100203</v>
      </c>
      <c r="L97" s="404">
        <v>2210</v>
      </c>
      <c r="M97" s="416">
        <f>F98</f>
        <v>500</v>
      </c>
    </row>
    <row r="98" spans="6:13" ht="14.25">
      <c r="F98" s="754">
        <v>500</v>
      </c>
      <c r="G98" s="1548"/>
      <c r="H98" s="55" t="s">
        <v>753</v>
      </c>
      <c r="I98" s="1"/>
      <c r="J98" s="1"/>
      <c r="K98" s="46">
        <v>100203</v>
      </c>
      <c r="L98" s="405">
        <v>2240</v>
      </c>
      <c r="M98" s="417">
        <f>F99+F100+F101+F102+F103+F107+F105+F108+F109+F110+F104+F113+F114+F112+F111+F106</f>
        <v>552789.9800000001</v>
      </c>
    </row>
    <row r="99" spans="6:13" ht="14.25">
      <c r="F99" s="751">
        <v>12564.28</v>
      </c>
      <c r="G99" s="1548"/>
      <c r="H99" s="53" t="s">
        <v>863</v>
      </c>
      <c r="I99" s="1"/>
      <c r="J99" s="1"/>
      <c r="K99" s="124">
        <v>100203</v>
      </c>
      <c r="L99" s="406">
        <v>3110</v>
      </c>
      <c r="M99" s="418"/>
    </row>
    <row r="100" spans="6:13" ht="14.25">
      <c r="F100" s="751">
        <v>17569.55</v>
      </c>
      <c r="G100" s="1548"/>
      <c r="H100" s="639" t="s">
        <v>779</v>
      </c>
      <c r="I100" s="1"/>
      <c r="J100" s="1"/>
      <c r="K100" s="49">
        <v>100203</v>
      </c>
      <c r="L100" s="407">
        <v>3132</v>
      </c>
      <c r="M100" s="419">
        <f>F115+F116+F117</f>
        <v>172602.21</v>
      </c>
    </row>
    <row r="101" spans="6:13" ht="14.25">
      <c r="F101" s="751">
        <v>30403.04</v>
      </c>
      <c r="G101" s="1548"/>
      <c r="H101" s="53" t="s">
        <v>724</v>
      </c>
      <c r="I101" s="1"/>
      <c r="J101" s="1"/>
      <c r="K101" s="48">
        <v>100302</v>
      </c>
      <c r="L101" s="408">
        <v>2240</v>
      </c>
      <c r="M101" s="420">
        <f>F118+F119+F120+F121+F122</f>
        <v>5766.36</v>
      </c>
    </row>
    <row r="102" spans="6:13" ht="14.25">
      <c r="F102" s="751">
        <v>91553.36</v>
      </c>
      <c r="G102" s="1548"/>
      <c r="H102" s="53" t="s">
        <v>7</v>
      </c>
      <c r="I102" s="23"/>
      <c r="J102" s="1"/>
      <c r="K102" s="50">
        <v>170703</v>
      </c>
      <c r="L102" s="409">
        <v>2240</v>
      </c>
      <c r="M102" s="421">
        <v>0</v>
      </c>
    </row>
    <row r="103" spans="6:13" ht="14.25">
      <c r="F103" s="751">
        <v>40893.74</v>
      </c>
      <c r="G103" s="1548"/>
      <c r="H103" s="53" t="s">
        <v>8</v>
      </c>
      <c r="I103" s="23"/>
      <c r="K103" s="125">
        <v>170703</v>
      </c>
      <c r="L103" s="410">
        <v>3132</v>
      </c>
      <c r="M103" s="422">
        <f>F126+F127+F128+F129+F130+F131+F123+F124+F125</f>
        <v>3207137.5299999993</v>
      </c>
    </row>
    <row r="104" spans="6:18" ht="15" thickBot="1">
      <c r="F104" s="191">
        <v>3941.34</v>
      </c>
      <c r="G104" s="1548"/>
      <c r="H104" s="53" t="s">
        <v>58</v>
      </c>
      <c r="I104" s="23"/>
      <c r="K104" s="412" t="s">
        <v>754</v>
      </c>
      <c r="L104" s="413">
        <v>3122</v>
      </c>
      <c r="M104" s="423">
        <v>0</v>
      </c>
      <c r="R104">
        <v>42377.01</v>
      </c>
    </row>
    <row r="105" spans="6:18" ht="14.25">
      <c r="F105" s="191">
        <v>1786</v>
      </c>
      <c r="G105" s="1548"/>
      <c r="H105" s="53" t="s">
        <v>1</v>
      </c>
      <c r="I105" s="23"/>
      <c r="L105" s="411"/>
      <c r="M105" s="424">
        <f>SUM(M94:M104)</f>
        <v>4184923.159999999</v>
      </c>
      <c r="N105" s="1"/>
      <c r="R105">
        <v>166692.44</v>
      </c>
    </row>
    <row r="106" spans="6:17" ht="14.25">
      <c r="F106" s="191">
        <v>15012</v>
      </c>
      <c r="G106" s="1548"/>
      <c r="H106" s="53" t="s">
        <v>69</v>
      </c>
      <c r="I106" s="23"/>
      <c r="L106" s="1"/>
      <c r="M106" s="589"/>
      <c r="N106" s="1"/>
      <c r="O106"/>
      <c r="Q106" s="589"/>
    </row>
    <row r="107" spans="6:17" ht="14.25">
      <c r="F107" s="190">
        <v>42256.8</v>
      </c>
      <c r="G107" s="1548"/>
      <c r="H107" s="53" t="s">
        <v>0</v>
      </c>
      <c r="I107" s="23"/>
      <c r="L107" s="1"/>
      <c r="M107" s="589"/>
      <c r="N107" s="1"/>
      <c r="O107"/>
      <c r="Q107" s="589"/>
    </row>
    <row r="108" spans="6:18" ht="14.25">
      <c r="F108" s="191">
        <v>17633.84</v>
      </c>
      <c r="G108" s="1548"/>
      <c r="H108" s="430" t="s">
        <v>5</v>
      </c>
      <c r="I108" s="23"/>
      <c r="R108">
        <v>0</v>
      </c>
    </row>
    <row r="109" spans="6:20" ht="14.25">
      <c r="F109" s="191">
        <v>16673.87</v>
      </c>
      <c r="G109" s="1548"/>
      <c r="H109" s="430" t="s">
        <v>6</v>
      </c>
      <c r="I109" s="23"/>
      <c r="R109">
        <v>2500</v>
      </c>
      <c r="S109" s="24">
        <f>R109+R110</f>
        <v>1481899.85</v>
      </c>
      <c r="T109" s="59">
        <f>S109+R114</f>
        <v>1729691.04</v>
      </c>
    </row>
    <row r="110" spans="6:19" ht="14.25">
      <c r="F110" s="191">
        <f>301.65+284.62</f>
        <v>586.27</v>
      </c>
      <c r="G110" s="1548"/>
      <c r="H110" s="430" t="s">
        <v>38</v>
      </c>
      <c r="I110" s="23"/>
      <c r="R110">
        <v>1479399.85</v>
      </c>
      <c r="S110" s="24"/>
    </row>
    <row r="111" spans="6:19" ht="14.25">
      <c r="F111" s="191">
        <v>22678.03</v>
      </c>
      <c r="G111" s="1548"/>
      <c r="H111" s="430" t="s">
        <v>61</v>
      </c>
      <c r="I111" s="23"/>
      <c r="S111" s="1"/>
    </row>
    <row r="112" spans="6:18" ht="14.25">
      <c r="F112" s="211">
        <v>28219.1</v>
      </c>
      <c r="G112" s="1548"/>
      <c r="H112" s="53" t="s">
        <v>755</v>
      </c>
      <c r="I112" s="23"/>
      <c r="R112">
        <v>0</v>
      </c>
    </row>
    <row r="113" spans="6:14" ht="15" thickBot="1">
      <c r="F113" s="211">
        <v>196578</v>
      </c>
      <c r="G113" s="1548"/>
      <c r="H113" s="53" t="s">
        <v>71</v>
      </c>
      <c r="I113" s="23"/>
      <c r="L113" s="14"/>
      <c r="M113" s="79" t="s">
        <v>21</v>
      </c>
      <c r="N113" s="533" t="s">
        <v>934</v>
      </c>
    </row>
    <row r="114" spans="6:18" ht="14.25">
      <c r="F114" s="191">
        <v>14440.76</v>
      </c>
      <c r="G114" s="1548"/>
      <c r="H114" s="53" t="s">
        <v>814</v>
      </c>
      <c r="I114" s="23"/>
      <c r="L114" s="398" t="s">
        <v>773</v>
      </c>
      <c r="M114" s="64">
        <v>2111.212</v>
      </c>
      <c r="N114" s="82">
        <f>L9+L20+M38+L62+M94</f>
        <v>35289.45</v>
      </c>
      <c r="R114">
        <v>247791.19</v>
      </c>
    </row>
    <row r="115" spans="6:18" ht="14.25">
      <c r="F115" s="751">
        <v>164393.21</v>
      </c>
      <c r="G115" s="1548"/>
      <c r="H115" s="845" t="s">
        <v>36</v>
      </c>
      <c r="I115" s="23"/>
      <c r="L115" s="399">
        <v>100101</v>
      </c>
      <c r="M115" s="402"/>
      <c r="N115" s="513">
        <f>F94+F95+F96</f>
        <v>239039.52000000002</v>
      </c>
      <c r="R115">
        <v>55993.38</v>
      </c>
    </row>
    <row r="116" spans="6:18" ht="14.25">
      <c r="F116" s="751">
        <v>7357</v>
      </c>
      <c r="G116" s="1548"/>
      <c r="H116" s="845" t="s">
        <v>37</v>
      </c>
      <c r="I116" s="23"/>
      <c r="L116" s="400">
        <v>100202</v>
      </c>
      <c r="M116" s="403"/>
      <c r="N116" s="415">
        <v>0</v>
      </c>
      <c r="R116">
        <v>768716.4</v>
      </c>
    </row>
    <row r="117" spans="6:14" ht="14.25">
      <c r="F117" s="751">
        <v>852</v>
      </c>
      <c r="G117" s="1548"/>
      <c r="H117" s="845" t="s">
        <v>59</v>
      </c>
      <c r="I117" s="23"/>
      <c r="L117" s="117">
        <v>100203</v>
      </c>
      <c r="M117" s="121">
        <v>2210</v>
      </c>
      <c r="N117" s="118">
        <f>2500+500</f>
        <v>3000</v>
      </c>
    </row>
    <row r="118" spans="6:14" ht="14.25">
      <c r="F118" s="751">
        <v>1423.28</v>
      </c>
      <c r="G118" s="1548"/>
      <c r="H118" s="57"/>
      <c r="I118" s="23"/>
      <c r="L118" s="46">
        <v>100203</v>
      </c>
      <c r="M118" s="46">
        <v>2240</v>
      </c>
      <c r="N118" s="224">
        <f>L10+L22+M40+L64+M98</f>
        <v>1760855.35</v>
      </c>
    </row>
    <row r="119" spans="6:14" ht="14.25">
      <c r="F119" s="751">
        <v>1483.22</v>
      </c>
      <c r="G119" s="1548"/>
      <c r="H119" s="60" t="s">
        <v>873</v>
      </c>
      <c r="I119" s="23"/>
      <c r="L119" s="124">
        <v>100203</v>
      </c>
      <c r="M119" s="124">
        <v>3110</v>
      </c>
      <c r="N119" s="397">
        <v>0</v>
      </c>
    </row>
    <row r="120" spans="6:14" ht="14.25">
      <c r="F120" s="211">
        <v>1524.97</v>
      </c>
      <c r="G120" s="1548"/>
      <c r="H120" s="586"/>
      <c r="I120" s="23"/>
      <c r="L120" s="124">
        <v>100203</v>
      </c>
      <c r="M120" s="124">
        <v>3132</v>
      </c>
      <c r="N120" s="775">
        <f>L66+M100</f>
        <v>420393.4</v>
      </c>
    </row>
    <row r="121" spans="6:15" ht="14.25">
      <c r="F121" s="753">
        <v>741.61</v>
      </c>
      <c r="G121" s="1548"/>
      <c r="H121" s="586"/>
      <c r="I121" s="23"/>
      <c r="L121" s="48">
        <v>100302</v>
      </c>
      <c r="M121" s="48">
        <v>2240</v>
      </c>
      <c r="N121" s="394">
        <f>L11+L23+M41+L67+M101</f>
        <v>58853.24</v>
      </c>
      <c r="O121" s="32">
        <f>58853.24-2424.46</f>
        <v>56428.78</v>
      </c>
    </row>
    <row r="122" spans="6:14" ht="15" thickBot="1">
      <c r="F122" s="751">
        <v>593.28</v>
      </c>
      <c r="G122" s="1548"/>
      <c r="H122" s="587"/>
      <c r="I122" s="23"/>
      <c r="L122" s="50">
        <v>170703</v>
      </c>
      <c r="M122" s="50">
        <v>2240</v>
      </c>
      <c r="N122" s="395">
        <v>768716.4</v>
      </c>
    </row>
    <row r="123" spans="6:14" ht="14.25">
      <c r="F123" s="751">
        <v>117085.01</v>
      </c>
      <c r="G123" s="1548"/>
      <c r="H123" s="617" t="s">
        <v>66</v>
      </c>
      <c r="I123" s="23"/>
      <c r="L123" s="125">
        <v>170703</v>
      </c>
      <c r="M123" s="125">
        <v>3132</v>
      </c>
      <c r="N123" s="536">
        <f>L69+M103</f>
        <v>4776329.909999999</v>
      </c>
    </row>
    <row r="124" spans="6:14" ht="15" thickBot="1">
      <c r="F124" s="751">
        <v>110408.46</v>
      </c>
      <c r="G124" s="1548"/>
      <c r="H124" s="617" t="s">
        <v>67</v>
      </c>
      <c r="I124" s="23"/>
      <c r="L124" s="412" t="s">
        <v>754</v>
      </c>
      <c r="M124" s="426">
        <v>3122</v>
      </c>
      <c r="N124" s="427">
        <v>0</v>
      </c>
    </row>
    <row r="125" spans="6:16" ht="14.25">
      <c r="F125" s="751">
        <v>128236.84</v>
      </c>
      <c r="G125" s="1548"/>
      <c r="H125" s="617" t="s">
        <v>68</v>
      </c>
      <c r="I125" s="23"/>
      <c r="N125" s="181">
        <f>SUM(N114:N124)</f>
        <v>8062477.27</v>
      </c>
      <c r="O125" s="32">
        <v>2424.46</v>
      </c>
      <c r="P125" s="3">
        <f>8062477.27-O125+F180</f>
        <v>10815098.7</v>
      </c>
    </row>
    <row r="126" spans="6:13" ht="14.25">
      <c r="F126" s="751">
        <v>886676.36</v>
      </c>
      <c r="G126" s="1548"/>
      <c r="H126" s="56" t="s">
        <v>960</v>
      </c>
      <c r="I126" s="23"/>
      <c r="L126" s="133"/>
      <c r="M126" s="101"/>
    </row>
    <row r="127" spans="6:13" ht="14.25">
      <c r="F127" s="751">
        <v>648624.97</v>
      </c>
      <c r="G127" s="1548"/>
      <c r="H127" s="56" t="s">
        <v>961</v>
      </c>
      <c r="I127" s="23"/>
      <c r="L127" s="133"/>
      <c r="M127" s="101"/>
    </row>
    <row r="128" spans="6:16" ht="14.25">
      <c r="F128" s="751">
        <v>388306.15</v>
      </c>
      <c r="G128" s="1548"/>
      <c r="H128" s="56" t="s">
        <v>962</v>
      </c>
      <c r="I128" s="23"/>
      <c r="L128" s="177">
        <f>F18+F33+F55+F92+F132+F180</f>
        <v>10817523.16</v>
      </c>
      <c r="M128" s="203">
        <f>L128-2424.46</f>
        <v>10815098.7</v>
      </c>
      <c r="O128" s="761">
        <f>N125-O125</f>
        <v>8060052.81</v>
      </c>
      <c r="P128" t="s">
        <v>116</v>
      </c>
    </row>
    <row r="129" spans="6:13" ht="14.25">
      <c r="F129" s="751">
        <v>5712</v>
      </c>
      <c r="G129" s="1548"/>
      <c r="H129" s="56" t="s">
        <v>2</v>
      </c>
      <c r="I129" s="23"/>
      <c r="L129" s="133"/>
      <c r="M129" s="101"/>
    </row>
    <row r="130" spans="6:13" ht="14.25">
      <c r="F130" s="751">
        <v>916142.94</v>
      </c>
      <c r="G130" s="1548"/>
      <c r="H130" s="56" t="s">
        <v>4</v>
      </c>
      <c r="I130" s="23"/>
      <c r="L130" s="133"/>
      <c r="M130" s="101"/>
    </row>
    <row r="131" spans="6:13" ht="15" thickBot="1">
      <c r="F131" s="751">
        <v>5944.8</v>
      </c>
      <c r="G131" s="1548"/>
      <c r="H131" s="56" t="s">
        <v>3</v>
      </c>
      <c r="I131" s="23"/>
      <c r="L131" s="133"/>
      <c r="M131" s="101"/>
    </row>
    <row r="132" spans="2:9" ht="23.25" customHeight="1" thickBot="1">
      <c r="B132" s="147"/>
      <c r="C132" s="147"/>
      <c r="D132" s="147"/>
      <c r="E132" s="411"/>
      <c r="F132" s="431">
        <f>SUM(F93:F131)</f>
        <v>4184923.159999999</v>
      </c>
      <c r="G132" s="27"/>
      <c r="H132" s="432" t="s">
        <v>729</v>
      </c>
      <c r="I132" s="218"/>
    </row>
    <row r="133" spans="2:9" ht="14.25" customHeight="1">
      <c r="B133" s="147"/>
      <c r="C133" s="147"/>
      <c r="D133" s="147"/>
      <c r="E133" s="433"/>
      <c r="F133" s="772">
        <v>8264.44</v>
      </c>
      <c r="G133" s="1549" t="s">
        <v>720</v>
      </c>
      <c r="H133" s="54" t="s">
        <v>110</v>
      </c>
      <c r="I133" s="23"/>
    </row>
    <row r="134" spans="2:18" ht="19.5" customHeight="1" thickBot="1">
      <c r="B134" s="1"/>
      <c r="C134" s="1"/>
      <c r="D134" s="1"/>
      <c r="E134" s="433"/>
      <c r="F134" s="138">
        <v>20486.4</v>
      </c>
      <c r="G134" s="1550"/>
      <c r="H134" s="738" t="s">
        <v>95</v>
      </c>
      <c r="I134" s="23"/>
      <c r="K134" s="26"/>
      <c r="L134" s="14"/>
      <c r="M134" s="79" t="s">
        <v>720</v>
      </c>
      <c r="N134" s="140">
        <v>2016</v>
      </c>
      <c r="O134"/>
      <c r="P134" s="14"/>
      <c r="Q134" s="79" t="s">
        <v>113</v>
      </c>
      <c r="R134" s="533"/>
    </row>
    <row r="135" spans="2:19" ht="19.5" customHeight="1">
      <c r="B135" s="1"/>
      <c r="C135" s="1"/>
      <c r="D135" s="1"/>
      <c r="E135" s="433"/>
      <c r="F135" s="138">
        <v>17268.6</v>
      </c>
      <c r="G135" s="1550"/>
      <c r="H135" s="738" t="s">
        <v>132</v>
      </c>
      <c r="I135" s="23"/>
      <c r="K135" s="26"/>
      <c r="L135" s="46">
        <v>100203</v>
      </c>
      <c r="M135" s="46">
        <v>2240</v>
      </c>
      <c r="N135" s="734">
        <f>F138+F139+F140+F141+F142+F143+F144+F145+F146+F147+F148+F149+F150+F151+F152</f>
        <v>560739.15</v>
      </c>
      <c r="O135" s="78"/>
      <c r="P135" s="398" t="s">
        <v>773</v>
      </c>
      <c r="Q135" s="64">
        <v>2111.212</v>
      </c>
      <c r="R135" s="82">
        <f>35289.45+N138</f>
        <v>43553.89</v>
      </c>
      <c r="S135">
        <v>43553.89</v>
      </c>
    </row>
    <row r="136" spans="2:19" ht="14.25" customHeight="1">
      <c r="B136" s="151"/>
      <c r="C136" s="6"/>
      <c r="D136" s="6"/>
      <c r="E136" s="433"/>
      <c r="F136" s="138">
        <v>500</v>
      </c>
      <c r="G136" s="1550"/>
      <c r="H136" s="55" t="s">
        <v>753</v>
      </c>
      <c r="I136" s="23"/>
      <c r="K136" s="26"/>
      <c r="L136" s="124">
        <v>100203</v>
      </c>
      <c r="M136" s="124">
        <v>3110</v>
      </c>
      <c r="N136" s="126">
        <f>F153+F154+F155</f>
        <v>90988</v>
      </c>
      <c r="O136" s="148"/>
      <c r="P136" s="399">
        <v>100101</v>
      </c>
      <c r="Q136" s="747"/>
      <c r="R136" s="749">
        <v>239039.52</v>
      </c>
      <c r="S136">
        <v>239039.52</v>
      </c>
    </row>
    <row r="137" spans="2:19" ht="14.25" customHeight="1">
      <c r="B137" s="151"/>
      <c r="C137" s="6"/>
      <c r="D137" s="6"/>
      <c r="E137" s="433"/>
      <c r="F137" s="108">
        <v>25950</v>
      </c>
      <c r="G137" s="1550"/>
      <c r="H137" s="117" t="s">
        <v>121</v>
      </c>
      <c r="I137" s="23"/>
      <c r="K137" s="26"/>
      <c r="L137" s="124">
        <v>100203</v>
      </c>
      <c r="M137" s="745">
        <v>3132</v>
      </c>
      <c r="N137" s="844">
        <f>F156+F157+F158+F159+F160+F161+F162+F163</f>
        <v>301203.95</v>
      </c>
      <c r="O137" s="78"/>
      <c r="P137" s="746">
        <v>100202</v>
      </c>
      <c r="Q137" s="748"/>
      <c r="R137" s="750">
        <f>N144</f>
        <v>37755</v>
      </c>
      <c r="S137">
        <v>37755</v>
      </c>
    </row>
    <row r="138" spans="2:19" ht="14.25" customHeight="1">
      <c r="B138" s="151"/>
      <c r="C138" s="6"/>
      <c r="D138" s="6"/>
      <c r="E138" s="433"/>
      <c r="F138" s="138">
        <v>30855.92</v>
      </c>
      <c r="G138" s="1550"/>
      <c r="H138" s="52" t="s">
        <v>724</v>
      </c>
      <c r="I138" s="23"/>
      <c r="K138" s="26"/>
      <c r="L138" s="398" t="s">
        <v>773</v>
      </c>
      <c r="M138" s="741">
        <v>2111.212</v>
      </c>
      <c r="N138" s="73">
        <f>F133</f>
        <v>8264.44</v>
      </c>
      <c r="O138" s="11"/>
      <c r="P138" s="117">
        <v>100203</v>
      </c>
      <c r="Q138" s="121">
        <v>2210</v>
      </c>
      <c r="R138" s="118">
        <f>3500+F137</f>
        <v>29450</v>
      </c>
      <c r="S138">
        <v>29450</v>
      </c>
    </row>
    <row r="139" spans="2:20" ht="14.25" customHeight="1">
      <c r="B139" s="1"/>
      <c r="C139" s="152"/>
      <c r="D139" s="152"/>
      <c r="E139" s="433"/>
      <c r="F139" s="138">
        <v>44259.44</v>
      </c>
      <c r="G139" s="1550"/>
      <c r="H139" s="52" t="s">
        <v>749</v>
      </c>
      <c r="I139" s="23"/>
      <c r="K139" s="31"/>
      <c r="L139" s="48">
        <v>100302</v>
      </c>
      <c r="M139" s="48">
        <v>2240</v>
      </c>
      <c r="N139" s="74">
        <f>F164+F165+F166+F167</f>
        <v>14560.4</v>
      </c>
      <c r="O139" s="78"/>
      <c r="P139" s="46">
        <v>100203</v>
      </c>
      <c r="Q139" s="46">
        <v>2240</v>
      </c>
      <c r="R139" s="224">
        <f>M10+M22+M40+L64+M98+N135</f>
        <v>2321594.5</v>
      </c>
      <c r="S139">
        <v>2321594.5</v>
      </c>
      <c r="T139" s="3">
        <f>M10+M22+M40+L64+M98+N135</f>
        <v>2321594.5</v>
      </c>
    </row>
    <row r="140" spans="2:19" ht="14.25" customHeight="1">
      <c r="B140" s="23"/>
      <c r="C140" s="5"/>
      <c r="D140" s="23"/>
      <c r="E140" s="200"/>
      <c r="F140" s="108">
        <v>21046.78</v>
      </c>
      <c r="G140" s="1550"/>
      <c r="H140" s="52" t="s">
        <v>94</v>
      </c>
      <c r="I140" s="23"/>
      <c r="K140" s="31"/>
      <c r="L140" s="50">
        <v>170703</v>
      </c>
      <c r="M140" s="50">
        <v>2240</v>
      </c>
      <c r="N140" s="77"/>
      <c r="O140" s="148"/>
      <c r="P140" s="124">
        <v>100203</v>
      </c>
      <c r="Q140" s="124">
        <v>3110</v>
      </c>
      <c r="R140" s="775">
        <f>N136</f>
        <v>90988</v>
      </c>
      <c r="S140">
        <v>90988</v>
      </c>
    </row>
    <row r="141" spans="1:19" ht="14.25" customHeight="1">
      <c r="A141" s="1"/>
      <c r="B141" s="1"/>
      <c r="C141" s="1"/>
      <c r="D141" s="1"/>
      <c r="E141" s="32"/>
      <c r="F141" s="108">
        <v>22727.9</v>
      </c>
      <c r="G141" s="1550"/>
      <c r="H141" s="52" t="s">
        <v>96</v>
      </c>
      <c r="I141" s="23"/>
      <c r="K141" s="31"/>
      <c r="L141" s="51">
        <v>170703</v>
      </c>
      <c r="M141" s="51">
        <v>3132</v>
      </c>
      <c r="N141" s="76">
        <f>F168+F169+F170+F171+F172+F173+F174+F175+F176+F177</f>
        <v>1459106.57</v>
      </c>
      <c r="O141" s="78"/>
      <c r="P141" s="49">
        <v>100203</v>
      </c>
      <c r="Q141" s="49">
        <v>3132</v>
      </c>
      <c r="R141" s="393">
        <f>L66+M100+N137</f>
        <v>721597.3500000001</v>
      </c>
      <c r="S141">
        <v>721597.35</v>
      </c>
    </row>
    <row r="142" spans="2:20" ht="14.25" customHeight="1">
      <c r="B142" s="1"/>
      <c r="C142" s="1"/>
      <c r="D142" s="1"/>
      <c r="E142" s="32"/>
      <c r="F142" s="138">
        <v>9159.08</v>
      </c>
      <c r="G142" s="1550"/>
      <c r="H142" s="52" t="s">
        <v>102</v>
      </c>
      <c r="I142" s="23"/>
      <c r="K142" s="31"/>
      <c r="L142" s="137" t="s">
        <v>754</v>
      </c>
      <c r="M142" s="84">
        <v>3122</v>
      </c>
      <c r="N142" s="85">
        <f>F178</f>
        <v>255978.38</v>
      </c>
      <c r="O142" s="148"/>
      <c r="P142" s="48">
        <v>100302</v>
      </c>
      <c r="Q142" s="48">
        <v>2240</v>
      </c>
      <c r="R142" s="394">
        <f>L11+L23+M41+L67+M101+N139</f>
        <v>73413.64</v>
      </c>
      <c r="S142" s="3">
        <f>R142-P150</f>
        <v>69476.34</v>
      </c>
      <c r="T142" s="3">
        <f>R142-S142</f>
        <v>3937.300000000003</v>
      </c>
    </row>
    <row r="143" spans="2:20" ht="14.25" customHeight="1">
      <c r="B143" s="1"/>
      <c r="C143" s="1"/>
      <c r="D143" s="1"/>
      <c r="E143" s="32"/>
      <c r="F143" s="138">
        <v>9159.08</v>
      </c>
      <c r="G143" s="1550"/>
      <c r="H143" s="52" t="s">
        <v>129</v>
      </c>
      <c r="I143" s="23"/>
      <c r="K143" s="31"/>
      <c r="L143" s="117">
        <v>100203</v>
      </c>
      <c r="M143" s="121">
        <v>2210</v>
      </c>
      <c r="N143" s="119">
        <f>F136+F137</f>
        <v>26450</v>
      </c>
      <c r="O143" s="78"/>
      <c r="P143" s="50">
        <v>170703</v>
      </c>
      <c r="Q143" s="50">
        <v>2240</v>
      </c>
      <c r="R143" s="395">
        <v>768716.4</v>
      </c>
      <c r="S143">
        <v>768716.4</v>
      </c>
      <c r="T143" s="3"/>
    </row>
    <row r="144" spans="2:19" ht="14.25" customHeight="1">
      <c r="B144" s="1"/>
      <c r="C144" s="1"/>
      <c r="D144" s="1"/>
      <c r="E144" s="32"/>
      <c r="F144" s="138">
        <v>934.24</v>
      </c>
      <c r="G144" s="1550"/>
      <c r="H144" s="52" t="s">
        <v>115</v>
      </c>
      <c r="I144" s="23"/>
      <c r="K144" s="31"/>
      <c r="L144" s="735">
        <v>100202</v>
      </c>
      <c r="M144" s="736">
        <v>2240</v>
      </c>
      <c r="N144" s="737">
        <f>F134+F135</f>
        <v>37755</v>
      </c>
      <c r="O144" s="78"/>
      <c r="P144" s="125">
        <v>170703</v>
      </c>
      <c r="Q144" s="125">
        <v>3132</v>
      </c>
      <c r="R144" s="536">
        <f>N123+N141</f>
        <v>6235436.4799999995</v>
      </c>
      <c r="S144">
        <v>6235436.48</v>
      </c>
    </row>
    <row r="145" spans="2:19" ht="14.25" customHeight="1" thickBot="1">
      <c r="B145" s="1"/>
      <c r="C145" s="1"/>
      <c r="D145" s="1"/>
      <c r="E145" s="32"/>
      <c r="F145" s="108">
        <v>51712.92</v>
      </c>
      <c r="G145" s="1550"/>
      <c r="H145" s="52" t="s">
        <v>100</v>
      </c>
      <c r="I145" s="23"/>
      <c r="K145" s="25"/>
      <c r="L145" s="161">
        <v>100101</v>
      </c>
      <c r="M145" s="162">
        <v>2240</v>
      </c>
      <c r="N145" s="142">
        <v>0</v>
      </c>
      <c r="O145" s="11"/>
      <c r="P145" s="412" t="s">
        <v>754</v>
      </c>
      <c r="Q145" s="426">
        <v>3122</v>
      </c>
      <c r="R145" s="776">
        <f>N142</f>
        <v>255978.38</v>
      </c>
      <c r="S145" s="3">
        <v>255978.38</v>
      </c>
    </row>
    <row r="146" spans="2:20" ht="14.25" customHeight="1" thickBot="1">
      <c r="B146" s="1"/>
      <c r="C146" s="153"/>
      <c r="D146" s="1"/>
      <c r="E146" s="32"/>
      <c r="F146" s="108">
        <f>24384.96+56898.24</f>
        <v>81283.2</v>
      </c>
      <c r="G146" s="1550"/>
      <c r="H146" s="52" t="s">
        <v>101</v>
      </c>
      <c r="I146" s="23"/>
      <c r="J146" s="47">
        <v>56898.24</v>
      </c>
      <c r="K146" s="26"/>
      <c r="L146" s="742">
        <v>100101</v>
      </c>
      <c r="M146" s="743">
        <v>3132</v>
      </c>
      <c r="N146" s="744"/>
      <c r="O146" s="78"/>
      <c r="R146" s="181">
        <f>SUM(R135:R145)</f>
        <v>10817523.160000002</v>
      </c>
      <c r="S146" s="3">
        <f>SUM(S135:S145)</f>
        <v>10813585.860000001</v>
      </c>
      <c r="T146" s="3">
        <f>R146-S146</f>
        <v>3937.300000000745</v>
      </c>
    </row>
    <row r="147" spans="2:14" ht="14.25" customHeight="1">
      <c r="B147" s="1"/>
      <c r="C147" s="153"/>
      <c r="D147" s="1"/>
      <c r="E147" s="32"/>
      <c r="F147" s="108">
        <v>44189.52</v>
      </c>
      <c r="G147" s="1550"/>
      <c r="H147" s="52" t="s">
        <v>105</v>
      </c>
      <c r="I147" s="23"/>
      <c r="K147" s="26"/>
      <c r="N147" s="3">
        <f>SUM(N135:N146)</f>
        <v>2755045.89</v>
      </c>
    </row>
    <row r="148" spans="2:11" ht="14.25" customHeight="1">
      <c r="B148" s="1"/>
      <c r="C148" s="153"/>
      <c r="D148" s="1"/>
      <c r="E148" s="32"/>
      <c r="F148" s="108">
        <v>40888.88</v>
      </c>
      <c r="G148" s="1550"/>
      <c r="H148" s="52" t="s">
        <v>732</v>
      </c>
      <c r="I148" s="23"/>
      <c r="K148" s="26"/>
    </row>
    <row r="149" spans="5:19" ht="14.25" customHeight="1">
      <c r="E149" s="32"/>
      <c r="F149" s="108">
        <v>25079.1</v>
      </c>
      <c r="G149" s="1550"/>
      <c r="H149" s="740" t="s">
        <v>106</v>
      </c>
      <c r="I149" s="23"/>
      <c r="K149" s="26"/>
      <c r="L149" s="134"/>
      <c r="M149" s="135"/>
      <c r="N149" s="771"/>
      <c r="O149" s="11"/>
      <c r="S149" s="188"/>
    </row>
    <row r="150" spans="3:16" ht="14.25" customHeight="1">
      <c r="C150" s="154"/>
      <c r="D150" s="11"/>
      <c r="E150" s="32"/>
      <c r="F150" s="108">
        <v>34920.88</v>
      </c>
      <c r="G150" s="1550"/>
      <c r="H150" s="740" t="s">
        <v>107</v>
      </c>
      <c r="I150" s="23"/>
      <c r="K150" s="26">
        <f>2698147.65+56898.24</f>
        <v>2755045.89</v>
      </c>
      <c r="P150">
        <f>2424.46+1512.84</f>
        <v>3937.3</v>
      </c>
    </row>
    <row r="151" spans="3:15" ht="14.25" customHeight="1">
      <c r="C151" s="154"/>
      <c r="D151" s="11"/>
      <c r="E151" s="32"/>
      <c r="F151" s="108">
        <v>47311.69</v>
      </c>
      <c r="G151" s="1550"/>
      <c r="H151" s="740" t="s">
        <v>130</v>
      </c>
      <c r="I151" s="23"/>
      <c r="K151" s="26"/>
      <c r="L151" t="s">
        <v>724</v>
      </c>
      <c r="M151" s="851">
        <f>F10+F22+F37+F68+F101+F138</f>
        <v>136504.72999999998</v>
      </c>
      <c r="N151" s="166" t="s">
        <v>183</v>
      </c>
      <c r="O151" s="45">
        <f>F78+F79+F80+F81+F82+F83+F84+F85+F86+F87+F123+F124+F125+F126+F127+F128+F129+F130+F131+F168+F169+F170+F171+F172+F173+F174+F175+F176+F177</f>
        <v>6235436.48</v>
      </c>
    </row>
    <row r="152" spans="3:15" ht="14.25" customHeight="1">
      <c r="C152" s="154"/>
      <c r="D152" s="11"/>
      <c r="E152" s="32"/>
      <c r="F152" s="108">
        <v>97210.52</v>
      </c>
      <c r="G152" s="1550"/>
      <c r="H152" s="740" t="s">
        <v>131</v>
      </c>
      <c r="I152" s="23"/>
      <c r="K152" s="26"/>
      <c r="L152" s="848" t="s">
        <v>749</v>
      </c>
      <c r="M152" s="849">
        <f>F8+F21+F36+F100+F139</f>
        <v>123319.90000000001</v>
      </c>
      <c r="N152" s="854" t="s">
        <v>184</v>
      </c>
      <c r="O152" s="11">
        <f>F49+F50+F71+F72+F73+F74++F76+F77</f>
        <v>768716.3999999999</v>
      </c>
    </row>
    <row r="153" spans="3:15" ht="14.25" customHeight="1">
      <c r="C153" s="154"/>
      <c r="D153" s="11"/>
      <c r="E153" s="32"/>
      <c r="F153" s="770">
        <v>29996</v>
      </c>
      <c r="G153" s="1550"/>
      <c r="H153" s="773" t="s">
        <v>114</v>
      </c>
      <c r="I153" s="23"/>
      <c r="K153" s="26"/>
      <c r="L153" t="s">
        <v>182</v>
      </c>
      <c r="M153" s="43">
        <f>F35</f>
        <v>19080.41</v>
      </c>
      <c r="N153" s="771"/>
      <c r="O153" s="11">
        <v>43553.89</v>
      </c>
    </row>
    <row r="154" spans="3:15" ht="14.25" customHeight="1">
      <c r="C154" s="154"/>
      <c r="D154" s="11"/>
      <c r="E154" s="32"/>
      <c r="F154" s="770">
        <v>26496</v>
      </c>
      <c r="G154" s="1550"/>
      <c r="H154" s="773" t="s">
        <v>127</v>
      </c>
      <c r="I154" s="23"/>
      <c r="K154" s="26"/>
      <c r="L154" s="848" t="s">
        <v>178</v>
      </c>
      <c r="M154" s="849">
        <f>F9+F23+F38+F59+F99+F140</f>
        <v>83920.34</v>
      </c>
      <c r="N154" s="771"/>
      <c r="O154" s="11">
        <v>239039.52</v>
      </c>
    </row>
    <row r="155" spans="3:15" ht="14.25" customHeight="1">
      <c r="C155" s="154"/>
      <c r="D155" s="11"/>
      <c r="E155" s="32"/>
      <c r="F155" s="770">
        <v>34496</v>
      </c>
      <c r="G155" s="1550"/>
      <c r="H155" s="773" t="s">
        <v>128</v>
      </c>
      <c r="I155" s="23"/>
      <c r="K155" s="26"/>
      <c r="L155" t="s">
        <v>732</v>
      </c>
      <c r="M155" s="849">
        <f>F28+F114+F148+F39</f>
        <v>137839.78</v>
      </c>
      <c r="N155" s="771"/>
      <c r="O155" s="11">
        <v>37755</v>
      </c>
    </row>
    <row r="156" spans="5:16" ht="14.25" customHeight="1">
      <c r="E156" s="32"/>
      <c r="F156" s="108">
        <v>6896.4</v>
      </c>
      <c r="G156" s="1550"/>
      <c r="H156" s="739" t="s">
        <v>104</v>
      </c>
      <c r="I156" s="23"/>
      <c r="K156" s="26"/>
      <c r="L156" t="s">
        <v>767</v>
      </c>
      <c r="M156" s="849">
        <f>F69+F112+F147</f>
        <v>102899.73</v>
      </c>
      <c r="O156" s="45">
        <v>29450</v>
      </c>
      <c r="P156" s="32"/>
    </row>
    <row r="157" spans="5:16" ht="14.25" customHeight="1">
      <c r="E157" s="32"/>
      <c r="F157" s="108">
        <v>264812</v>
      </c>
      <c r="G157" s="1550"/>
      <c r="H157" s="739" t="s">
        <v>103</v>
      </c>
      <c r="I157" s="23"/>
      <c r="K157" s="26"/>
      <c r="L157" t="s">
        <v>768</v>
      </c>
      <c r="M157" s="851">
        <f>F24+F25+F26+F27+F45+F46+F47+F48+F61+F60+F62+F64+F65+F66+F102+F103+F104+F151+F152</f>
        <v>715107.3200000001</v>
      </c>
      <c r="O157" s="45">
        <v>90988</v>
      </c>
      <c r="P157" s="32"/>
    </row>
    <row r="158" spans="5:16" ht="14.25" customHeight="1">
      <c r="E158" s="32"/>
      <c r="F158" s="770">
        <v>7970.55</v>
      </c>
      <c r="G158" s="1550"/>
      <c r="H158" s="739" t="s">
        <v>112</v>
      </c>
      <c r="I158" s="23"/>
      <c r="K158" s="26"/>
      <c r="L158" s="848" t="s">
        <v>179</v>
      </c>
      <c r="M158" s="851">
        <f>F40+F41+F42+F43+F108+F109+F110+F111+F141+F142+F143+F144</f>
        <v>123652.99</v>
      </c>
      <c r="N158" s="166" t="s">
        <v>185</v>
      </c>
      <c r="O158" s="45">
        <f>F70+F115+F116+F117+F156+F157</f>
        <v>692101.8</v>
      </c>
      <c r="P158" s="43"/>
    </row>
    <row r="159" spans="5:15" ht="14.25" customHeight="1">
      <c r="E159" s="32"/>
      <c r="F159" s="770">
        <v>4305</v>
      </c>
      <c r="G159" s="1550"/>
      <c r="H159" s="739" t="s">
        <v>122</v>
      </c>
      <c r="I159" s="774"/>
      <c r="K159" s="26"/>
      <c r="L159" t="s">
        <v>731</v>
      </c>
      <c r="M159" s="851">
        <f>F149+F150</f>
        <v>59999.979999999996</v>
      </c>
      <c r="N159" s="166" t="s">
        <v>186</v>
      </c>
      <c r="O159" s="45">
        <f>F159+F160+F161+F162+F163</f>
        <v>21525</v>
      </c>
    </row>
    <row r="160" spans="5:15" ht="14.25" customHeight="1">
      <c r="E160" s="32"/>
      <c r="F160" s="770">
        <v>4305</v>
      </c>
      <c r="G160" s="1550"/>
      <c r="H160" s="739" t="s">
        <v>123</v>
      </c>
      <c r="I160" s="774"/>
      <c r="K160" s="26"/>
      <c r="L160" t="s">
        <v>180</v>
      </c>
      <c r="M160" s="2">
        <f>F107+F106+F105+F58+F145+F146</f>
        <v>259393.72000000003</v>
      </c>
      <c r="N160" s="166" t="s">
        <v>187</v>
      </c>
      <c r="O160" s="45">
        <f>F158</f>
        <v>7970.55</v>
      </c>
    </row>
    <row r="161" spans="5:15" ht="14.25" customHeight="1" thickBot="1">
      <c r="E161" s="32"/>
      <c r="F161" s="770">
        <v>4305</v>
      </c>
      <c r="G161" s="1550"/>
      <c r="H161" s="739" t="s">
        <v>124</v>
      </c>
      <c r="I161" s="774"/>
      <c r="K161" s="26"/>
      <c r="L161" s="14" t="s">
        <v>181</v>
      </c>
      <c r="M161" s="850">
        <f>F44+F67+F113</f>
        <v>559875.6</v>
      </c>
      <c r="O161" s="131">
        <v>255978.38</v>
      </c>
    </row>
    <row r="162" spans="5:16" ht="14.25" customHeight="1">
      <c r="E162" s="32"/>
      <c r="F162" s="770">
        <v>4305</v>
      </c>
      <c r="G162" s="1550"/>
      <c r="H162" s="739" t="s">
        <v>125</v>
      </c>
      <c r="I162" s="774"/>
      <c r="K162" s="26"/>
      <c r="L162" s="149"/>
      <c r="M162" s="2">
        <f>SUM(M151:M161)</f>
        <v>2321594.5</v>
      </c>
      <c r="N162" s="3">
        <v>73413.64</v>
      </c>
      <c r="O162" s="43">
        <f>SUM(O151:O161)</f>
        <v>8422515.02</v>
      </c>
      <c r="P162" s="188">
        <f>SUM(M162:O162)</f>
        <v>10817523.16</v>
      </c>
    </row>
    <row r="163" spans="5:13" ht="14.25" customHeight="1">
      <c r="E163" s="32"/>
      <c r="F163" s="770">
        <v>4305</v>
      </c>
      <c r="G163" s="1550"/>
      <c r="H163" s="739" t="s">
        <v>126</v>
      </c>
      <c r="I163" s="774"/>
      <c r="K163" s="26"/>
      <c r="L163" s="149"/>
      <c r="M163" s="40"/>
    </row>
    <row r="164" spans="5:13" ht="14.25" customHeight="1">
      <c r="E164" s="32"/>
      <c r="F164" s="769">
        <v>9242.06</v>
      </c>
      <c r="G164" s="1550"/>
      <c r="H164" s="759" t="s">
        <v>723</v>
      </c>
      <c r="I164" s="23"/>
      <c r="K164" s="149"/>
      <c r="L164" s="45" t="s">
        <v>873</v>
      </c>
      <c r="M164" s="2">
        <f>F11+F12+F13+F14+F15+F30+F31+F32+F52+F53+F89+F90+F91+F118+F119+F120+F121+F122+F166+F167</f>
        <v>26399.42</v>
      </c>
    </row>
    <row r="165" spans="5:15" ht="14.25" customHeight="1" thickBot="1">
      <c r="E165" s="32"/>
      <c r="F165" s="108">
        <v>2292.66</v>
      </c>
      <c r="G165" s="1550"/>
      <c r="H165" s="853"/>
      <c r="I165" s="23"/>
      <c r="J165" s="1"/>
      <c r="K165" s="32"/>
      <c r="L165" s="14" t="s">
        <v>723</v>
      </c>
      <c r="M165" s="182">
        <f>F16+F17+F29+F54+F88+F164+F165</f>
        <v>47014.22</v>
      </c>
      <c r="O165"/>
    </row>
    <row r="166" spans="5:13" ht="14.25" customHeight="1">
      <c r="E166" s="32"/>
      <c r="F166" s="108">
        <v>1512.84</v>
      </c>
      <c r="G166" s="1550"/>
      <c r="H166" s="760" t="s">
        <v>111</v>
      </c>
      <c r="I166" s="23"/>
      <c r="M166" s="3">
        <f>SUM(M164:M165)</f>
        <v>73413.64</v>
      </c>
    </row>
    <row r="167" spans="5:9" ht="14.25" customHeight="1">
      <c r="E167" s="32"/>
      <c r="F167" s="108">
        <v>1512.84</v>
      </c>
      <c r="G167" s="1550"/>
      <c r="H167" s="760"/>
      <c r="I167" s="23"/>
    </row>
    <row r="168" spans="5:9" ht="14.25" customHeight="1">
      <c r="E168" s="32"/>
      <c r="F168" s="108">
        <v>1236</v>
      </c>
      <c r="G168" s="1550"/>
      <c r="H168" s="56" t="s">
        <v>74</v>
      </c>
      <c r="I168" s="23"/>
    </row>
    <row r="169" spans="5:9" ht="14.25" customHeight="1">
      <c r="E169" s="32"/>
      <c r="F169" s="108">
        <v>1236</v>
      </c>
      <c r="G169" s="1550"/>
      <c r="H169" s="56" t="s">
        <v>75</v>
      </c>
      <c r="I169" s="23"/>
    </row>
    <row r="170" spans="5:9" ht="14.25" customHeight="1">
      <c r="E170" s="32"/>
      <c r="F170" s="108">
        <v>1116</v>
      </c>
      <c r="G170" s="1550"/>
      <c r="H170" s="56" t="s">
        <v>76</v>
      </c>
      <c r="I170" s="23"/>
    </row>
    <row r="171" spans="5:9" ht="14.25" customHeight="1">
      <c r="E171" s="32"/>
      <c r="F171" s="108">
        <v>280127.71</v>
      </c>
      <c r="G171" s="1550"/>
      <c r="H171" s="631" t="s">
        <v>77</v>
      </c>
      <c r="I171" s="23"/>
    </row>
    <row r="172" spans="5:9" ht="14.25" customHeight="1">
      <c r="E172" s="32"/>
      <c r="F172" s="108">
        <v>1674</v>
      </c>
      <c r="G172" s="1550"/>
      <c r="H172" s="56" t="s">
        <v>78</v>
      </c>
      <c r="I172" s="23"/>
    </row>
    <row r="173" spans="5:9" ht="14.25" customHeight="1">
      <c r="E173" s="32"/>
      <c r="F173" s="108">
        <v>6822</v>
      </c>
      <c r="G173" s="1550"/>
      <c r="H173" s="56" t="s">
        <v>97</v>
      </c>
      <c r="I173" s="23"/>
    </row>
    <row r="174" spans="5:9" ht="14.25" customHeight="1">
      <c r="E174" s="32"/>
      <c r="F174" s="108">
        <v>7105.2</v>
      </c>
      <c r="G174" s="1550"/>
      <c r="H174" s="56" t="s">
        <v>98</v>
      </c>
      <c r="I174" s="23"/>
    </row>
    <row r="175" spans="5:9" ht="14.25" customHeight="1">
      <c r="E175" s="32"/>
      <c r="F175" s="108">
        <v>39599</v>
      </c>
      <c r="G175" s="1550"/>
      <c r="H175" s="56" t="s">
        <v>99</v>
      </c>
      <c r="I175" s="23"/>
    </row>
    <row r="176" spans="5:12" ht="14.25" customHeight="1">
      <c r="E176" s="32"/>
      <c r="F176" s="108">
        <v>390477.26</v>
      </c>
      <c r="G176" s="1550"/>
      <c r="H176" s="631" t="s">
        <v>108</v>
      </c>
      <c r="I176" s="23"/>
      <c r="L176" s="3">
        <f>R146+M185</f>
        <v>10817523.160000002</v>
      </c>
    </row>
    <row r="177" spans="5:9" ht="14.25" customHeight="1">
      <c r="E177" s="32"/>
      <c r="F177" s="108">
        <v>729713.4</v>
      </c>
      <c r="G177" s="1550"/>
      <c r="H177" s="631" t="s">
        <v>109</v>
      </c>
      <c r="I177" s="23"/>
    </row>
    <row r="178" spans="4:9" ht="14.25" customHeight="1">
      <c r="D178" s="3"/>
      <c r="E178" s="23"/>
      <c r="F178" s="108">
        <v>255978.38</v>
      </c>
      <c r="G178" s="1550"/>
      <c r="H178" s="767" t="s">
        <v>120</v>
      </c>
      <c r="I178" s="23"/>
    </row>
    <row r="179" spans="4:9" ht="14.25" customHeight="1" thickBot="1">
      <c r="D179" s="3"/>
      <c r="E179" s="23"/>
      <c r="F179" s="108"/>
      <c r="G179" s="1550"/>
      <c r="H179" s="274"/>
      <c r="I179" s="23"/>
    </row>
    <row r="180" spans="6:13" ht="15.75" thickBot="1">
      <c r="F180" s="109">
        <f>SUM(F133:F179)</f>
        <v>2755045.89</v>
      </c>
      <c r="G180" s="139"/>
      <c r="H180" s="18" t="s">
        <v>730</v>
      </c>
      <c r="I180" s="14"/>
      <c r="K180" s="25"/>
      <c r="L180" s="102"/>
      <c r="M180" s="1"/>
    </row>
    <row r="181" spans="6:9" ht="16.5" customHeight="1">
      <c r="F181" s="167">
        <v>4710.28</v>
      </c>
      <c r="G181" s="1525" t="s">
        <v>737</v>
      </c>
      <c r="H181" s="62" t="s">
        <v>740</v>
      </c>
      <c r="I181" s="855"/>
    </row>
    <row r="182" spans="6:15" ht="15" customHeight="1">
      <c r="F182" s="168">
        <v>47801</v>
      </c>
      <c r="G182" s="1526"/>
      <c r="H182" s="885" t="s">
        <v>253</v>
      </c>
      <c r="I182" s="886"/>
      <c r="N182" s="880"/>
      <c r="O182" s="23"/>
    </row>
    <row r="183" spans="6:15" ht="15" customHeight="1">
      <c r="F183" s="168">
        <v>0.6</v>
      </c>
      <c r="G183" s="1526"/>
      <c r="H183" s="885" t="s">
        <v>262</v>
      </c>
      <c r="I183" s="886"/>
      <c r="N183" s="880"/>
      <c r="O183" s="23"/>
    </row>
    <row r="184" spans="6:16" ht="14.25">
      <c r="F184" s="168">
        <v>18520.2</v>
      </c>
      <c r="G184" s="1526"/>
      <c r="H184" s="738" t="s">
        <v>224</v>
      </c>
      <c r="I184" s="870"/>
      <c r="N184" s="880"/>
      <c r="O184" s="23"/>
      <c r="P184" s="32"/>
    </row>
    <row r="185" spans="6:16" ht="14.25">
      <c r="F185" s="168">
        <v>500</v>
      </c>
      <c r="G185" s="1526"/>
      <c r="H185" s="55" t="s">
        <v>762</v>
      </c>
      <c r="I185" s="1"/>
      <c r="M185" s="3"/>
      <c r="N185" s="880"/>
      <c r="O185" s="23"/>
      <c r="P185" s="32"/>
    </row>
    <row r="186" spans="6:16" ht="15" thickBot="1">
      <c r="F186" s="168">
        <v>35077.96</v>
      </c>
      <c r="G186" s="1526"/>
      <c r="H186" s="44" t="s">
        <v>724</v>
      </c>
      <c r="I186" s="1"/>
      <c r="K186" s="14"/>
      <c r="L186" s="79" t="s">
        <v>737</v>
      </c>
      <c r="M186" s="140">
        <v>2016</v>
      </c>
      <c r="N186" s="883"/>
      <c r="O186" s="23"/>
      <c r="P186" s="32"/>
    </row>
    <row r="187" spans="6:15" ht="14.25">
      <c r="F187" s="168">
        <v>48807.06</v>
      </c>
      <c r="G187" s="1526"/>
      <c r="H187" s="44" t="s">
        <v>738</v>
      </c>
      <c r="I187" s="1"/>
      <c r="K187" s="398" t="s">
        <v>773</v>
      </c>
      <c r="L187" s="64">
        <v>2111.212</v>
      </c>
      <c r="M187" s="120">
        <f>F181</f>
        <v>4710.28</v>
      </c>
      <c r="N187" s="883"/>
      <c r="O187" s="23"/>
    </row>
    <row r="188" spans="4:15" ht="14.25">
      <c r="D188" s="3"/>
      <c r="F188" s="168">
        <v>21174.33</v>
      </c>
      <c r="G188" s="1526"/>
      <c r="H188" s="44" t="s">
        <v>769</v>
      </c>
      <c r="I188" s="1"/>
      <c r="K188" s="746">
        <v>100202</v>
      </c>
      <c r="L188" s="746">
        <v>2240</v>
      </c>
      <c r="M188" s="868">
        <f>F184+F182+F183</f>
        <v>66321.8</v>
      </c>
      <c r="N188" s="883"/>
      <c r="O188" s="23"/>
    </row>
    <row r="189" spans="4:15" ht="14.25">
      <c r="D189" s="3"/>
      <c r="F189" s="168">
        <v>21473.31</v>
      </c>
      <c r="G189" s="1526"/>
      <c r="H189" s="127" t="s">
        <v>269</v>
      </c>
      <c r="I189" s="1"/>
      <c r="K189" s="117">
        <v>100203</v>
      </c>
      <c r="L189" s="121">
        <v>2210</v>
      </c>
      <c r="M189" s="119">
        <f>F185</f>
        <v>500</v>
      </c>
      <c r="N189" s="883"/>
      <c r="O189" s="23"/>
    </row>
    <row r="190" spans="4:15" ht="14.25">
      <c r="D190" s="3"/>
      <c r="F190" s="168">
        <v>44010.7</v>
      </c>
      <c r="G190" s="1526"/>
      <c r="H190" s="44" t="s">
        <v>270</v>
      </c>
      <c r="I190" s="1"/>
      <c r="K190" s="46">
        <v>100203</v>
      </c>
      <c r="L190" s="46">
        <v>2240</v>
      </c>
      <c r="M190" s="72">
        <f>F186+F187+F188+F189+F190+F191+F192+F193+F194+F195+F196+F197+F198+F199+F200+F201+F202+F203+F204+F205+F206+F207+F208+F209+F210+F211+F212+F213+F214</f>
        <v>683877.88</v>
      </c>
      <c r="N190" s="883"/>
      <c r="O190" s="23"/>
    </row>
    <row r="191" spans="4:15" ht="15" thickBot="1">
      <c r="D191" s="3"/>
      <c r="F191" s="168">
        <v>28631.08</v>
      </c>
      <c r="G191" s="1526"/>
      <c r="H191" s="127" t="s">
        <v>264</v>
      </c>
      <c r="I191" s="1"/>
      <c r="K191" s="888">
        <v>170703</v>
      </c>
      <c r="L191" s="888">
        <v>3132</v>
      </c>
      <c r="M191" s="889">
        <f>F215+F216+F217+F218+F219+F220+F221</f>
        <v>1579665.8</v>
      </c>
      <c r="N191" s="45"/>
      <c r="O191" s="23"/>
    </row>
    <row r="192" spans="4:15" ht="14.25">
      <c r="D192" s="3"/>
      <c r="F192" s="168">
        <v>58680.94</v>
      </c>
      <c r="G192" s="1526"/>
      <c r="H192" s="44" t="s">
        <v>265</v>
      </c>
      <c r="I192" s="1"/>
      <c r="K192" s="23"/>
      <c r="L192" s="23"/>
      <c r="M192" s="890">
        <f>SUM(M187:M191)</f>
        <v>2335075.76</v>
      </c>
      <c r="N192" s="883"/>
      <c r="O192" s="23"/>
    </row>
    <row r="193" spans="4:15" ht="14.25">
      <c r="D193" s="3"/>
      <c r="F193" s="168">
        <v>21101.65</v>
      </c>
      <c r="G193" s="1526"/>
      <c r="H193" s="44" t="s">
        <v>254</v>
      </c>
      <c r="I193" s="1"/>
      <c r="K193" s="23"/>
      <c r="L193" s="23"/>
      <c r="M193" s="45"/>
      <c r="N193" s="883"/>
      <c r="O193" s="23"/>
    </row>
    <row r="194" spans="4:15" ht="14.25">
      <c r="D194" s="3"/>
      <c r="F194" s="168">
        <v>361.31</v>
      </c>
      <c r="G194" s="1526"/>
      <c r="H194" s="44" t="s">
        <v>255</v>
      </c>
      <c r="I194" s="1"/>
      <c r="K194" s="23"/>
      <c r="L194" s="23"/>
      <c r="M194" s="142"/>
      <c r="N194" s="883"/>
      <c r="O194" s="23"/>
    </row>
    <row r="195" spans="6:15" ht="14.25">
      <c r="F195" s="168">
        <v>14205.94</v>
      </c>
      <c r="G195" s="1526"/>
      <c r="H195" s="44" t="s">
        <v>256</v>
      </c>
      <c r="I195" s="1"/>
      <c r="K195" s="23"/>
      <c r="L195" s="23"/>
      <c r="M195" s="23"/>
      <c r="N195" s="883"/>
      <c r="O195" s="23"/>
    </row>
    <row r="196" spans="6:15" ht="14.25">
      <c r="F196" s="168">
        <v>243.57</v>
      </c>
      <c r="G196" s="1526"/>
      <c r="H196" s="44" t="s">
        <v>257</v>
      </c>
      <c r="I196" s="1"/>
      <c r="K196" s="966" t="s">
        <v>343</v>
      </c>
      <c r="L196" s="23"/>
      <c r="M196" s="45"/>
      <c r="N196" s="883"/>
      <c r="O196" s="23"/>
    </row>
    <row r="197" spans="6:15" ht="14.25">
      <c r="F197" s="168">
        <v>12903.7</v>
      </c>
      <c r="G197" s="1526"/>
      <c r="H197" s="44" t="s">
        <v>258</v>
      </c>
      <c r="I197" s="1"/>
      <c r="K197" t="s">
        <v>60</v>
      </c>
      <c r="L197" s="967">
        <f>F44+F67+F113+F208+F209+F210+F213+F214</f>
        <v>605685.6</v>
      </c>
      <c r="N197" s="883"/>
      <c r="O197" s="23"/>
    </row>
    <row r="198" spans="6:15" ht="14.25">
      <c r="F198" s="168">
        <v>220.59</v>
      </c>
      <c r="G198" s="1526"/>
      <c r="H198" s="44" t="s">
        <v>259</v>
      </c>
      <c r="I198" s="1"/>
      <c r="K198" t="s">
        <v>344</v>
      </c>
      <c r="L198" s="967">
        <f>F58+F105+F106+F107+F145+F146+F206</f>
        <v>259738.00000000003</v>
      </c>
      <c r="N198" s="883"/>
      <c r="O198" s="23"/>
    </row>
    <row r="199" spans="4:15" ht="14.25">
      <c r="D199" s="3"/>
      <c r="F199" s="168">
        <v>18224.32</v>
      </c>
      <c r="G199" s="1526"/>
      <c r="H199" s="44" t="s">
        <v>732</v>
      </c>
      <c r="I199" s="1"/>
      <c r="K199" s="32" t="s">
        <v>345</v>
      </c>
      <c r="L199" s="968">
        <f>F24+F25+F26+F27+F45+F46+F47+F48+F60+F61+F62+F64+F65+F66+F102+F103+F104+F151+F152+F207+F211+F212</f>
        <v>785804.9700000001</v>
      </c>
      <c r="M199" s="142"/>
      <c r="N199" s="883"/>
      <c r="O199" s="23"/>
    </row>
    <row r="200" spans="4:15" ht="14.25">
      <c r="D200" s="3"/>
      <c r="F200" s="168">
        <v>65697.34</v>
      </c>
      <c r="G200" s="1526"/>
      <c r="H200" s="44" t="s">
        <v>260</v>
      </c>
      <c r="I200" s="1"/>
      <c r="K200" s="32" t="s">
        <v>349</v>
      </c>
      <c r="L200" s="967">
        <f>F190+F192</f>
        <v>102691.64</v>
      </c>
      <c r="M200" s="1561">
        <f>L200+L201+L202</f>
        <v>171876.44</v>
      </c>
      <c r="N200" s="882"/>
      <c r="O200" s="23"/>
    </row>
    <row r="201" spans="4:15" ht="14.25">
      <c r="D201" s="3"/>
      <c r="F201" s="168">
        <v>22114.74</v>
      </c>
      <c r="G201" s="1526"/>
      <c r="H201" s="44" t="s">
        <v>261</v>
      </c>
      <c r="I201" s="1"/>
      <c r="K201" s="32" t="s">
        <v>350</v>
      </c>
      <c r="L201" s="967">
        <f>F191+F189</f>
        <v>50104.39</v>
      </c>
      <c r="M201" s="1561"/>
      <c r="N201" s="882"/>
      <c r="O201" s="23"/>
    </row>
    <row r="202" spans="4:15" ht="14.25">
      <c r="D202" s="3"/>
      <c r="F202" s="168">
        <v>58517.9</v>
      </c>
      <c r="G202" s="1526"/>
      <c r="H202" s="44" t="s">
        <v>246</v>
      </c>
      <c r="I202" s="1"/>
      <c r="K202" s="32" t="s">
        <v>351</v>
      </c>
      <c r="L202" s="967">
        <f>F35</f>
        <v>19080.41</v>
      </c>
      <c r="M202" s="1561"/>
      <c r="N202" s="881"/>
      <c r="O202" s="23"/>
    </row>
    <row r="203" spans="6:15" ht="14.25">
      <c r="F203" s="168">
        <v>81482.07</v>
      </c>
      <c r="G203" s="1526"/>
      <c r="H203" s="44" t="s">
        <v>247</v>
      </c>
      <c r="I203" s="1"/>
      <c r="K203" s="32" t="s">
        <v>347</v>
      </c>
      <c r="L203" s="967">
        <f>F8+F21+F36+F100+F139+F187</f>
        <v>172126.96000000002</v>
      </c>
      <c r="N203" s="881"/>
      <c r="O203" s="23"/>
    </row>
    <row r="204" spans="4:23" ht="14.25">
      <c r="D204" s="164"/>
      <c r="F204" s="168">
        <v>13705.36</v>
      </c>
      <c r="G204" s="1526"/>
      <c r="H204" s="44" t="s">
        <v>214</v>
      </c>
      <c r="I204" s="1"/>
      <c r="K204" s="32" t="s">
        <v>724</v>
      </c>
      <c r="L204" s="967">
        <f>F10+F22+F37+F68+F101+F138+F186</f>
        <v>171582.68999999997</v>
      </c>
      <c r="N204" s="881"/>
      <c r="O204" s="99"/>
      <c r="P204" s="149"/>
      <c r="Q204" s="164"/>
      <c r="R204" s="164"/>
      <c r="S204" s="23"/>
      <c r="T204" s="23"/>
      <c r="U204" s="4"/>
      <c r="V204" s="23"/>
      <c r="W204" s="23"/>
    </row>
    <row r="205" spans="4:23" ht="14.25">
      <c r="D205" s="164"/>
      <c r="F205" s="168">
        <v>392.08</v>
      </c>
      <c r="G205" s="1526"/>
      <c r="H205" s="44" t="s">
        <v>245</v>
      </c>
      <c r="I205" s="1"/>
      <c r="K205" s="32" t="s">
        <v>94</v>
      </c>
      <c r="L205" s="967">
        <f>F9+F23+F38+F59+F99+F140+F188</f>
        <v>105094.67</v>
      </c>
      <c r="N205" s="881"/>
      <c r="O205" s="99"/>
      <c r="P205" s="149"/>
      <c r="Q205" s="164"/>
      <c r="R205" s="164"/>
      <c r="S205" s="23"/>
      <c r="T205" s="23"/>
      <c r="U205" s="4"/>
      <c r="V205" s="23"/>
      <c r="W205" s="23"/>
    </row>
    <row r="206" spans="4:23" ht="14.25">
      <c r="D206" s="164"/>
      <c r="F206" s="168">
        <v>344.28</v>
      </c>
      <c r="G206" s="1526"/>
      <c r="H206" s="44" t="s">
        <v>248</v>
      </c>
      <c r="I206" s="1"/>
      <c r="K206" s="32" t="s">
        <v>346</v>
      </c>
      <c r="L206" s="967">
        <f>F28+F39+F114+F148+F199</f>
        <v>156064.1</v>
      </c>
      <c r="N206" s="881"/>
      <c r="O206" s="99"/>
      <c r="P206" s="149"/>
      <c r="Q206" s="164"/>
      <c r="R206" s="164"/>
      <c r="S206" s="23"/>
      <c r="T206" s="23"/>
      <c r="U206" s="4"/>
      <c r="V206" s="23"/>
      <c r="W206" s="23"/>
    </row>
    <row r="207" spans="4:23" ht="14.25">
      <c r="D207" s="164"/>
      <c r="F207" s="168">
        <v>660.04</v>
      </c>
      <c r="H207" s="44" t="s">
        <v>220</v>
      </c>
      <c r="I207" s="1"/>
      <c r="K207" s="32" t="s">
        <v>767</v>
      </c>
      <c r="L207" s="967">
        <f>F69+F112+F147+F200+F201</f>
        <v>190711.81</v>
      </c>
      <c r="N207" s="882"/>
      <c r="O207" s="99"/>
      <c r="P207" s="164"/>
      <c r="Q207" s="164"/>
      <c r="R207" s="23"/>
      <c r="S207" s="23"/>
      <c r="T207" s="23"/>
      <c r="U207" s="4"/>
      <c r="V207" s="23"/>
      <c r="W207" s="23"/>
    </row>
    <row r="208" spans="4:23" ht="14.25">
      <c r="D208" s="166"/>
      <c r="F208" s="168">
        <v>36294</v>
      </c>
      <c r="H208" s="44" t="s">
        <v>213</v>
      </c>
      <c r="I208" s="1"/>
      <c r="K208" s="32" t="s">
        <v>179</v>
      </c>
      <c r="L208" s="967">
        <f>F40+F41+F42+F43+F108+F109+F110+F111+F141+F142+F143+F144+F193+F194+F195+F196+F197+F198+F204+F205</f>
        <v>186787.19000000003</v>
      </c>
      <c r="M208">
        <v>186787.19</v>
      </c>
      <c r="N208" s="164">
        <f>M208-L208</f>
        <v>0</v>
      </c>
      <c r="O208" s="99"/>
      <c r="P208" s="856"/>
      <c r="Q208" s="164"/>
      <c r="R208" s="164"/>
      <c r="S208" s="23"/>
      <c r="T208" s="23"/>
      <c r="U208" s="4"/>
      <c r="V208" s="23"/>
      <c r="W208" s="23"/>
    </row>
    <row r="209" spans="6:23" ht="14.25">
      <c r="F209" s="168">
        <v>617</v>
      </c>
      <c r="G209" s="158"/>
      <c r="H209" s="44" t="s">
        <v>252</v>
      </c>
      <c r="K209" s="32" t="s">
        <v>348</v>
      </c>
      <c r="L209" s="967">
        <f>F149+F150+F202+F203</f>
        <v>199999.95</v>
      </c>
      <c r="N209" s="99"/>
      <c r="O209" s="149"/>
      <c r="P209" s="149"/>
      <c r="Q209" s="164"/>
      <c r="R209" s="164"/>
      <c r="S209" s="164"/>
      <c r="T209" s="2"/>
      <c r="U209" s="23"/>
      <c r="V209" s="23"/>
      <c r="W209" s="23"/>
    </row>
    <row r="210" spans="4:23" ht="14.25">
      <c r="D210" s="166"/>
      <c r="F210" s="168">
        <v>3353</v>
      </c>
      <c r="G210" s="158"/>
      <c r="H210" s="44" t="s">
        <v>221</v>
      </c>
      <c r="I210" s="1"/>
      <c r="N210" s="99"/>
      <c r="O210" s="149"/>
      <c r="P210" s="149"/>
      <c r="Q210" s="164"/>
      <c r="R210" s="23"/>
      <c r="S210" s="164"/>
      <c r="T210" s="45"/>
      <c r="U210" s="4"/>
      <c r="V210" s="23"/>
      <c r="W210" s="23"/>
    </row>
    <row r="211" spans="4:23" ht="14.25">
      <c r="D211" s="166"/>
      <c r="F211" s="168">
        <v>70005.61</v>
      </c>
      <c r="G211" s="158"/>
      <c r="H211" s="44" t="s">
        <v>219</v>
      </c>
      <c r="I211" s="1"/>
      <c r="N211" s="99"/>
      <c r="O211" s="149"/>
      <c r="P211" s="149"/>
      <c r="Q211" s="164"/>
      <c r="R211" s="23"/>
      <c r="S211" s="164"/>
      <c r="T211" s="45"/>
      <c r="U211" s="4"/>
      <c r="V211" s="23"/>
      <c r="W211" s="23"/>
    </row>
    <row r="212" spans="4:23" ht="14.25">
      <c r="D212" s="166"/>
      <c r="F212" s="168">
        <v>32</v>
      </c>
      <c r="G212" s="158"/>
      <c r="H212" s="44" t="s">
        <v>222</v>
      </c>
      <c r="I212" s="1"/>
      <c r="L212" s="761">
        <f>SUM(L197:L211)</f>
        <v>3005472.38</v>
      </c>
      <c r="M212" s="45">
        <v>3005742.43</v>
      </c>
      <c r="N212" s="99">
        <f>M212-L212</f>
        <v>270.0500000002794</v>
      </c>
      <c r="O212" s="149"/>
      <c r="P212" s="149"/>
      <c r="Q212" s="164"/>
      <c r="R212" s="23"/>
      <c r="S212" s="164"/>
      <c r="T212" s="45"/>
      <c r="U212" s="4"/>
      <c r="V212" s="23"/>
      <c r="W212" s="23"/>
    </row>
    <row r="213" spans="4:23" ht="14.25">
      <c r="D213" s="166"/>
      <c r="F213" s="168">
        <v>2963</v>
      </c>
      <c r="G213" s="158"/>
      <c r="H213" s="44" t="s">
        <v>223</v>
      </c>
      <c r="I213" s="1"/>
      <c r="K213" s="887"/>
      <c r="L213" s="32"/>
      <c r="M213" s="45"/>
      <c r="N213" s="99"/>
      <c r="O213" s="149"/>
      <c r="P213" s="149"/>
      <c r="Q213" s="164"/>
      <c r="R213" s="23"/>
      <c r="S213" s="164"/>
      <c r="T213" s="45"/>
      <c r="U213" s="4"/>
      <c r="V213" s="23"/>
      <c r="W213" s="23"/>
    </row>
    <row r="214" spans="4:23" ht="14.25">
      <c r="D214" s="166"/>
      <c r="F214" s="168">
        <v>2583</v>
      </c>
      <c r="G214" s="158"/>
      <c r="H214" s="44" t="s">
        <v>263</v>
      </c>
      <c r="I214" s="1"/>
      <c r="K214" s="23"/>
      <c r="L214" s="23"/>
      <c r="M214" s="25"/>
      <c r="N214" s="99"/>
      <c r="O214" s="149"/>
      <c r="P214" s="149"/>
      <c r="Q214" s="164"/>
      <c r="R214" s="23"/>
      <c r="S214" s="164"/>
      <c r="T214" s="45"/>
      <c r="U214" s="4"/>
      <c r="V214" s="23"/>
      <c r="W214" s="23"/>
    </row>
    <row r="215" spans="6:23" ht="14.25">
      <c r="F215" s="168">
        <v>6986.4</v>
      </c>
      <c r="G215" s="158"/>
      <c r="H215" s="136" t="s">
        <v>215</v>
      </c>
      <c r="I215" s="1"/>
      <c r="J215" s="23"/>
      <c r="K215" s="23"/>
      <c r="L215" s="45"/>
      <c r="M215" s="45"/>
      <c r="N215" s="45"/>
      <c r="O215" s="45"/>
      <c r="P215" s="45"/>
      <c r="Q215" s="45"/>
      <c r="R215" s="45"/>
      <c r="S215" s="23"/>
      <c r="T215" s="23"/>
      <c r="U215" s="4"/>
      <c r="V215" s="23"/>
      <c r="W215" s="23"/>
    </row>
    <row r="216" spans="6:23" ht="14.25">
      <c r="F216" s="169">
        <v>478008.2</v>
      </c>
      <c r="G216" s="158"/>
      <c r="H216" s="136" t="s">
        <v>216</v>
      </c>
      <c r="I216" s="1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26"/>
      <c r="V216" s="23"/>
      <c r="W216" s="23"/>
    </row>
    <row r="217" spans="6:23" ht="44.25">
      <c r="F217" s="168">
        <v>7102.8</v>
      </c>
      <c r="G217" s="158"/>
      <c r="H217" s="157" t="s">
        <v>217</v>
      </c>
      <c r="I217" s="1"/>
      <c r="J217" s="23"/>
      <c r="K217" s="23"/>
      <c r="L217" s="894"/>
      <c r="M217" s="164"/>
      <c r="N217" s="164"/>
      <c r="O217" s="164"/>
      <c r="P217" s="164"/>
      <c r="Q217" s="164"/>
      <c r="R217" s="164"/>
      <c r="S217" s="23"/>
      <c r="T217" s="23"/>
      <c r="U217" s="4"/>
      <c r="V217" s="23"/>
      <c r="W217" s="23"/>
    </row>
    <row r="218" spans="6:23" ht="14.25">
      <c r="F218" s="168">
        <v>728918.34</v>
      </c>
      <c r="G218" s="158"/>
      <c r="H218" s="157" t="s">
        <v>218</v>
      </c>
      <c r="I218" s="1"/>
      <c r="J218" s="23"/>
      <c r="K218" s="23"/>
      <c r="L218" s="857"/>
      <c r="M218" s="99"/>
      <c r="N218" s="149"/>
      <c r="O218" s="164"/>
      <c r="P218" s="164"/>
      <c r="Q218" s="23"/>
      <c r="R218" s="23"/>
      <c r="S218" s="23"/>
      <c r="T218" s="23"/>
      <c r="U218" s="4"/>
      <c r="V218" s="23"/>
      <c r="W218" s="23"/>
    </row>
    <row r="219" spans="6:23" ht="14.25">
      <c r="F219" s="168">
        <v>1674</v>
      </c>
      <c r="G219" s="158"/>
      <c r="H219" s="157" t="s">
        <v>249</v>
      </c>
      <c r="I219" s="1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26"/>
      <c r="V219" s="23"/>
      <c r="W219" s="23"/>
    </row>
    <row r="220" spans="6:23" ht="12.75">
      <c r="F220" s="884">
        <v>22833</v>
      </c>
      <c r="G220" s="158"/>
      <c r="H220" s="136" t="s">
        <v>250</v>
      </c>
      <c r="I220" s="1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26"/>
      <c r="V220" s="23"/>
      <c r="W220" s="23"/>
    </row>
    <row r="221" spans="6:23" ht="15" thickBot="1">
      <c r="F221" s="168">
        <v>334143.06</v>
      </c>
      <c r="G221" s="158"/>
      <c r="H221" s="157" t="s">
        <v>251</v>
      </c>
      <c r="I221" s="1"/>
      <c r="J221" s="23"/>
      <c r="K221" s="23"/>
      <c r="L221" s="99"/>
      <c r="M221" s="149"/>
      <c r="N221" s="164"/>
      <c r="O221" s="23"/>
      <c r="P221" s="23"/>
      <c r="Q221" s="23"/>
      <c r="R221" s="23"/>
      <c r="S221" s="23"/>
      <c r="T221" s="23"/>
      <c r="U221" s="4"/>
      <c r="V221" s="23"/>
      <c r="W221" s="23"/>
    </row>
    <row r="222" spans="6:17" ht="17.25" customHeight="1" thickBot="1">
      <c r="F222" s="165">
        <f>SUM(F181:F221)</f>
        <v>2335075.7600000002</v>
      </c>
      <c r="G222" s="13"/>
      <c r="H222" s="160" t="s">
        <v>741</v>
      </c>
      <c r="I222" s="1"/>
      <c r="J222" s="23"/>
      <c r="K222" s="23"/>
      <c r="L222" s="45"/>
      <c r="M222" s="40"/>
      <c r="O222"/>
      <c r="P222" s="2"/>
      <c r="Q222" s="3"/>
    </row>
    <row r="223" spans="6:17" ht="17.25" customHeight="1">
      <c r="F223" s="1041">
        <f>3317.69+729.89</f>
        <v>4047.58</v>
      </c>
      <c r="G223" s="1543" t="s">
        <v>743</v>
      </c>
      <c r="H223" s="62" t="s">
        <v>740</v>
      </c>
      <c r="I223" s="855"/>
      <c r="L223" s="3"/>
      <c r="M223" s="22"/>
      <c r="O223"/>
      <c r="P223" s="2"/>
      <c r="Q223" s="3"/>
    </row>
    <row r="224" spans="6:17" ht="17.25" customHeight="1">
      <c r="F224" s="1031">
        <v>14965.2</v>
      </c>
      <c r="G224" s="1544"/>
      <c r="H224" s="983" t="s">
        <v>395</v>
      </c>
      <c r="I224" s="980"/>
      <c r="L224" s="3"/>
      <c r="M224" s="22"/>
      <c r="O224"/>
      <c r="P224" s="2"/>
      <c r="Q224" s="3"/>
    </row>
    <row r="225" spans="6:17" ht="17.25" customHeight="1">
      <c r="F225" s="1031">
        <v>20995.15</v>
      </c>
      <c r="G225" s="1544"/>
      <c r="H225" s="983" t="s">
        <v>396</v>
      </c>
      <c r="I225" s="980"/>
      <c r="L225" s="3"/>
      <c r="M225" s="22"/>
      <c r="O225"/>
      <c r="P225" s="2"/>
      <c r="Q225" s="3"/>
    </row>
    <row r="226" spans="6:17" ht="17.25" customHeight="1">
      <c r="F226" s="1040">
        <v>-3444.35</v>
      </c>
      <c r="G226" s="1544"/>
      <c r="H226" s="981" t="s">
        <v>958</v>
      </c>
      <c r="I226" s="982"/>
      <c r="J226" s="1"/>
      <c r="O226"/>
      <c r="P226" s="2"/>
      <c r="Q226" s="3"/>
    </row>
    <row r="227" spans="6:17" ht="17.25" customHeight="1">
      <c r="F227" s="1040">
        <v>745.5</v>
      </c>
      <c r="G227" s="1545"/>
      <c r="H227" s="981" t="s">
        <v>364</v>
      </c>
      <c r="I227" s="982"/>
      <c r="J227" s="1"/>
      <c r="O227"/>
      <c r="P227" s="2"/>
      <c r="Q227" s="3"/>
    </row>
    <row r="228" spans="6:17" ht="17.25" customHeight="1">
      <c r="F228" s="1040">
        <v>10845.84</v>
      </c>
      <c r="G228" s="1544"/>
      <c r="H228" s="981" t="s">
        <v>959</v>
      </c>
      <c r="I228" s="982"/>
      <c r="J228" s="1"/>
      <c r="K228" s="1"/>
      <c r="M228" s="171"/>
      <c r="O228"/>
      <c r="P228" s="2"/>
      <c r="Q228" s="3"/>
    </row>
    <row r="229" spans="6:17" ht="17.25" customHeight="1">
      <c r="F229" s="1040">
        <v>745.5</v>
      </c>
      <c r="G229" s="1545"/>
      <c r="H229" s="981" t="s">
        <v>365</v>
      </c>
      <c r="I229" s="982"/>
      <c r="K229" s="1"/>
      <c r="M229" s="171"/>
      <c r="O229"/>
      <c r="P229" s="2"/>
      <c r="Q229" s="3"/>
    </row>
    <row r="230" spans="5:17" ht="15" thickBot="1">
      <c r="E230" s="1"/>
      <c r="F230" s="1031">
        <v>500</v>
      </c>
      <c r="G230" s="1544"/>
      <c r="H230" s="55" t="s">
        <v>762</v>
      </c>
      <c r="I230" s="1"/>
      <c r="K230" s="14"/>
      <c r="L230" s="79" t="s">
        <v>743</v>
      </c>
      <c r="M230" s="140">
        <v>2016</v>
      </c>
      <c r="N230" s="11"/>
      <c r="O230" s="43" t="s">
        <v>418</v>
      </c>
      <c r="P230" s="3"/>
      <c r="Q230" s="3"/>
    </row>
    <row r="231" spans="6:17" ht="14.25">
      <c r="F231" s="1031">
        <v>40747.71</v>
      </c>
      <c r="G231" s="1544"/>
      <c r="H231" s="44" t="s">
        <v>724</v>
      </c>
      <c r="I231" s="1"/>
      <c r="K231" s="398" t="s">
        <v>773</v>
      </c>
      <c r="L231" s="64">
        <v>2111.212</v>
      </c>
      <c r="M231" s="984">
        <f>F223</f>
        <v>4047.58</v>
      </c>
      <c r="O231" s="398" t="s">
        <v>773</v>
      </c>
      <c r="P231" s="64">
        <v>2111.212</v>
      </c>
      <c r="Q231" s="1024">
        <f>R135+M187+M231</f>
        <v>52311.75</v>
      </c>
    </row>
    <row r="232" spans="6:17" ht="14.25">
      <c r="F232" s="1031">
        <v>92523.25</v>
      </c>
      <c r="G232" s="1544"/>
      <c r="H232" s="44" t="s">
        <v>738</v>
      </c>
      <c r="I232" s="1"/>
      <c r="K232" s="29">
        <v>100101</v>
      </c>
      <c r="L232" s="159">
        <v>2240</v>
      </c>
      <c r="M232" s="985">
        <f>F224+F225</f>
        <v>35960.350000000006</v>
      </c>
      <c r="O232" s="29">
        <v>100101</v>
      </c>
      <c r="P232" s="159">
        <v>2240</v>
      </c>
      <c r="Q232" s="1024">
        <f>M232</f>
        <v>35960.350000000006</v>
      </c>
    </row>
    <row r="233" spans="6:17" ht="14.25">
      <c r="F233" s="1031">
        <v>27722.22</v>
      </c>
      <c r="G233" s="1544"/>
      <c r="H233" s="44" t="s">
        <v>769</v>
      </c>
      <c r="I233" s="1"/>
      <c r="K233" s="747">
        <v>100101</v>
      </c>
      <c r="L233" s="869">
        <v>3132</v>
      </c>
      <c r="M233" s="991">
        <f>F226+F227+F228+F229</f>
        <v>8892.49</v>
      </c>
      <c r="O233" s="747">
        <v>100101</v>
      </c>
      <c r="P233" s="869">
        <v>3132</v>
      </c>
      <c r="Q233" s="1024">
        <f>R136+M233</f>
        <v>247932.00999999998</v>
      </c>
    </row>
    <row r="234" spans="6:18" ht="14.25">
      <c r="F234" s="1031">
        <v>28631.08</v>
      </c>
      <c r="G234" s="1544"/>
      <c r="H234" s="127" t="s">
        <v>361</v>
      </c>
      <c r="I234" s="1"/>
      <c r="K234" s="746">
        <v>100202</v>
      </c>
      <c r="L234" s="746">
        <v>2240</v>
      </c>
      <c r="M234" s="992">
        <v>0</v>
      </c>
      <c r="O234" s="1047">
        <v>100202</v>
      </c>
      <c r="P234" s="1047">
        <v>2240</v>
      </c>
      <c r="Q234" s="1048">
        <f>R137+M188+M234</f>
        <v>104076.8</v>
      </c>
      <c r="R234" s="293"/>
    </row>
    <row r="235" spans="6:18" ht="14.25">
      <c r="F235" s="1031">
        <v>83952.29</v>
      </c>
      <c r="G235" s="1544"/>
      <c r="H235" s="44" t="s">
        <v>362</v>
      </c>
      <c r="I235" s="1"/>
      <c r="K235" s="117">
        <v>100203</v>
      </c>
      <c r="L235" s="121">
        <v>2210</v>
      </c>
      <c r="M235" s="986">
        <f>F230</f>
        <v>500</v>
      </c>
      <c r="O235" s="117">
        <v>100203</v>
      </c>
      <c r="P235" s="121">
        <v>2210</v>
      </c>
      <c r="Q235" s="1024">
        <f>R138+M189+M235</f>
        <v>30450</v>
      </c>
      <c r="R235" s="1562">
        <f>Q235+Q236</f>
        <v>3699529.58</v>
      </c>
    </row>
    <row r="236" spans="6:18" ht="14.25">
      <c r="F236" s="1031">
        <v>10139.11</v>
      </c>
      <c r="G236" s="1544"/>
      <c r="H236" s="44" t="s">
        <v>374</v>
      </c>
      <c r="I236" s="1"/>
      <c r="J236" s="23"/>
      <c r="K236" s="46">
        <v>100203</v>
      </c>
      <c r="L236" s="46">
        <v>2240</v>
      </c>
      <c r="M236" s="987">
        <f>F231+F232+F233+F234+F235+F236+F237+F238+F239+F240+F241+F242+F243</f>
        <v>663607.2</v>
      </c>
      <c r="O236" s="1049">
        <v>100203</v>
      </c>
      <c r="P236" s="1049">
        <v>2240</v>
      </c>
      <c r="Q236" s="1050">
        <f>R139+M190+M236</f>
        <v>3669079.58</v>
      </c>
      <c r="R236" s="1563"/>
    </row>
    <row r="237" spans="4:18" ht="14.25">
      <c r="D237" s="164"/>
      <c r="F237" s="1039">
        <v>120319.2</v>
      </c>
      <c r="G237" s="1544"/>
      <c r="H237" s="44" t="s">
        <v>279</v>
      </c>
      <c r="I237" s="1"/>
      <c r="J237" s="185"/>
      <c r="K237" s="124">
        <v>100203</v>
      </c>
      <c r="L237" s="124">
        <v>3110</v>
      </c>
      <c r="M237" s="988">
        <v>0</v>
      </c>
      <c r="O237" s="1051">
        <v>100203</v>
      </c>
      <c r="P237" s="1051">
        <v>3110</v>
      </c>
      <c r="Q237" s="1052">
        <f>R140</f>
        <v>90988</v>
      </c>
      <c r="R237" s="1564">
        <f>Q237+Q238</f>
        <v>1363159.0500000003</v>
      </c>
    </row>
    <row r="238" spans="6:19" ht="14.25">
      <c r="F238" s="1031">
        <v>56548.69</v>
      </c>
      <c r="G238" s="1544"/>
      <c r="H238" s="44" t="s">
        <v>363</v>
      </c>
      <c r="I238" s="1"/>
      <c r="J238" s="23"/>
      <c r="K238" s="49">
        <v>100203</v>
      </c>
      <c r="L238" s="49">
        <v>3132</v>
      </c>
      <c r="M238" s="989">
        <f>F244+F245+F246+F247+F248+F249+F250+F251+F252+F253</f>
        <v>550573.7000000001</v>
      </c>
      <c r="O238" s="1053">
        <v>100203</v>
      </c>
      <c r="P238" s="1053">
        <v>3132</v>
      </c>
      <c r="Q238" s="1054">
        <f>M238+R141</f>
        <v>1272171.0500000003</v>
      </c>
      <c r="R238" s="1563"/>
      <c r="S238" s="3"/>
    </row>
    <row r="239" spans="6:17" ht="14.25">
      <c r="F239" s="1031">
        <v>1638</v>
      </c>
      <c r="G239" s="1544"/>
      <c r="H239" s="44" t="s">
        <v>372</v>
      </c>
      <c r="I239" s="1"/>
      <c r="J239" s="23"/>
      <c r="K239" s="48">
        <v>100302</v>
      </c>
      <c r="L239" s="48">
        <v>2240</v>
      </c>
      <c r="M239" s="993">
        <v>0</v>
      </c>
      <c r="O239" s="48">
        <v>100302</v>
      </c>
      <c r="P239" s="48">
        <v>2240</v>
      </c>
      <c r="Q239" s="1024">
        <f>R142</f>
        <v>73413.64</v>
      </c>
    </row>
    <row r="240" spans="6:17" ht="14.25">
      <c r="F240" s="1031">
        <v>3451</v>
      </c>
      <c r="G240" s="1544"/>
      <c r="H240" s="44" t="s">
        <v>373</v>
      </c>
      <c r="K240" s="50">
        <v>170703</v>
      </c>
      <c r="L240" s="50">
        <v>2240</v>
      </c>
      <c r="M240" s="996">
        <f>F254+F255+F256</f>
        <v>139849.6</v>
      </c>
      <c r="O240" s="50">
        <v>170703</v>
      </c>
      <c r="P240" s="50">
        <v>2240</v>
      </c>
      <c r="Q240" s="1024">
        <f>M240+R143</f>
        <v>908566</v>
      </c>
    </row>
    <row r="241" spans="6:17" ht="14.25">
      <c r="F241" s="1031">
        <v>30832.8</v>
      </c>
      <c r="G241" s="1544"/>
      <c r="H241" s="44" t="s">
        <v>391</v>
      </c>
      <c r="I241" s="1"/>
      <c r="K241" s="51">
        <v>170703</v>
      </c>
      <c r="L241" s="51">
        <v>3132</v>
      </c>
      <c r="M241" s="990">
        <f>F257+F258+F259+F260+F261+F262+F263+F264+F265+F266+F267</f>
        <v>973457.9899999999</v>
      </c>
      <c r="O241" s="51">
        <v>170703</v>
      </c>
      <c r="P241" s="51">
        <v>3132</v>
      </c>
      <c r="Q241" s="1024">
        <f>M241+M191+R144</f>
        <v>8788560.27</v>
      </c>
    </row>
    <row r="242" spans="6:17" ht="15" thickBot="1">
      <c r="F242" s="1038">
        <v>161958.5</v>
      </c>
      <c r="G242" s="1544"/>
      <c r="H242" s="44" t="s">
        <v>277</v>
      </c>
      <c r="I242" s="1"/>
      <c r="K242" s="994" t="s">
        <v>754</v>
      </c>
      <c r="L242" s="426">
        <v>3122</v>
      </c>
      <c r="M242" s="995">
        <v>0</v>
      </c>
      <c r="O242" s="994" t="s">
        <v>754</v>
      </c>
      <c r="P242" s="426">
        <v>3122</v>
      </c>
      <c r="Q242" s="3">
        <f>R145</f>
        <v>255978.38</v>
      </c>
    </row>
    <row r="243" spans="6:17" ht="14.25">
      <c r="F243" s="1038">
        <v>5143.35</v>
      </c>
      <c r="G243" s="1544"/>
      <c r="H243" s="44" t="s">
        <v>392</v>
      </c>
      <c r="I243" s="1"/>
      <c r="M243" s="181">
        <f>SUM(M231:M242)</f>
        <v>2376888.91</v>
      </c>
      <c r="O243" s="23"/>
      <c r="P243" s="45"/>
      <c r="Q243" s="3">
        <f>SUM(Q231:Q242)</f>
        <v>15529487.83</v>
      </c>
    </row>
    <row r="244" spans="6:17" ht="14.25">
      <c r="F244" s="1038">
        <v>64209.6</v>
      </c>
      <c r="G244" s="1544"/>
      <c r="H244" s="61" t="s">
        <v>420</v>
      </c>
      <c r="I244" s="1"/>
      <c r="M244" s="589"/>
      <c r="O244" s="23"/>
      <c r="P244" s="45"/>
      <c r="Q244" s="3"/>
    </row>
    <row r="245" spans="5:17" ht="14.25">
      <c r="E245" s="15"/>
      <c r="F245" s="1031">
        <f>190362.4</f>
        <v>190362.4</v>
      </c>
      <c r="G245" s="1544"/>
      <c r="H245" s="61" t="s">
        <v>421</v>
      </c>
      <c r="I245" s="1"/>
      <c r="N245" s="3"/>
      <c r="O245" s="43"/>
      <c r="P245" s="3"/>
      <c r="Q245" s="3"/>
    </row>
    <row r="246" spans="5:17" ht="14.25">
      <c r="E246" s="15"/>
      <c r="F246" s="1031">
        <v>2232</v>
      </c>
      <c r="G246" s="1544"/>
      <c r="H246" s="61" t="s">
        <v>394</v>
      </c>
      <c r="I246" s="1"/>
      <c r="N246" s="3"/>
      <c r="O246" s="43"/>
      <c r="P246" s="3"/>
      <c r="Q246" s="3"/>
    </row>
    <row r="247" spans="5:15" ht="14.25" customHeight="1">
      <c r="E247" s="15"/>
      <c r="F247" s="1031">
        <v>9235</v>
      </c>
      <c r="G247" s="1544"/>
      <c r="H247" s="61" t="s">
        <v>393</v>
      </c>
      <c r="I247" s="1"/>
      <c r="N247" s="3"/>
      <c r="O247" s="43"/>
    </row>
    <row r="248" spans="6:16" ht="12.75">
      <c r="F248" s="1030">
        <v>22320</v>
      </c>
      <c r="G248" s="1544"/>
      <c r="H248" s="61" t="s">
        <v>375</v>
      </c>
      <c r="I248" s="1"/>
      <c r="N248" s="11"/>
      <c r="O248" s="5"/>
      <c r="P248" s="1"/>
    </row>
    <row r="249" spans="6:16" ht="14.25">
      <c r="F249" s="1032">
        <v>230615.52</v>
      </c>
      <c r="G249" s="1544"/>
      <c r="H249" s="61" t="s">
        <v>283</v>
      </c>
      <c r="I249" s="1"/>
      <c r="O249" s="5"/>
      <c r="P249" s="1"/>
    </row>
    <row r="250" spans="6:16" ht="14.25">
      <c r="F250" s="1032">
        <v>558</v>
      </c>
      <c r="G250" s="1544"/>
      <c r="H250" s="61" t="s">
        <v>366</v>
      </c>
      <c r="I250" s="1"/>
      <c r="O250" s="5"/>
      <c r="P250" s="1"/>
    </row>
    <row r="251" spans="6:16" ht="14.25">
      <c r="F251" s="1032">
        <v>5009.18</v>
      </c>
      <c r="G251" s="1544"/>
      <c r="H251" s="61" t="s">
        <v>367</v>
      </c>
      <c r="I251" s="1"/>
      <c r="O251" s="5"/>
      <c r="P251" s="1"/>
    </row>
    <row r="252" spans="6:16" ht="14.25">
      <c r="F252" s="1032">
        <v>19083</v>
      </c>
      <c r="G252" s="1544"/>
      <c r="H252" s="61" t="s">
        <v>280</v>
      </c>
      <c r="I252" s="1"/>
      <c r="O252" s="5"/>
      <c r="P252" s="1"/>
    </row>
    <row r="253" spans="6:16" ht="14.25">
      <c r="F253" s="1032">
        <v>6949</v>
      </c>
      <c r="G253" s="1544"/>
      <c r="H253" s="61" t="s">
        <v>280</v>
      </c>
      <c r="I253" s="1"/>
      <c r="O253" s="5"/>
      <c r="P253" s="1"/>
    </row>
    <row r="254" spans="6:16" ht="14.25">
      <c r="F254" s="1031">
        <v>2368</v>
      </c>
      <c r="G254" s="1544"/>
      <c r="H254" s="303" t="s">
        <v>368</v>
      </c>
      <c r="I254" s="1"/>
      <c r="O254" s="5"/>
      <c r="P254" s="1"/>
    </row>
    <row r="255" spans="6:16" ht="14.25">
      <c r="F255" s="1032">
        <v>7242</v>
      </c>
      <c r="G255" s="1544"/>
      <c r="H255" s="303" t="s">
        <v>386</v>
      </c>
      <c r="I255" s="1"/>
      <c r="K255" s="3">
        <f>L12+L24+M45+L71+M105+N147+M192+M243</f>
        <v>15529487.829999998</v>
      </c>
      <c r="O255" s="5"/>
      <c r="P255" s="1"/>
    </row>
    <row r="256" spans="6:16" ht="14.25">
      <c r="F256" s="1032">
        <v>130239.6</v>
      </c>
      <c r="G256" s="1544"/>
      <c r="H256" s="303" t="s">
        <v>387</v>
      </c>
      <c r="I256" s="1"/>
      <c r="K256" s="189" t="s">
        <v>397</v>
      </c>
      <c r="L256" s="3">
        <f>F18+F33+F55+F92+F132+F180+F222+F269</f>
        <v>15529487.83</v>
      </c>
      <c r="M256" s="3">
        <f>L256+N310</f>
        <v>23455592.34</v>
      </c>
      <c r="O256" s="5"/>
      <c r="P256" s="1"/>
    </row>
    <row r="257" spans="6:17" ht="14.25">
      <c r="F257" s="1032">
        <v>174615.05</v>
      </c>
      <c r="G257" s="1544"/>
      <c r="H257" s="136" t="s">
        <v>281</v>
      </c>
      <c r="I257" s="1"/>
      <c r="L257" s="3">
        <f>L256+N310</f>
        <v>23455592.34</v>
      </c>
      <c r="O257" s="23"/>
      <c r="P257" s="45"/>
      <c r="Q257" s="3"/>
    </row>
    <row r="258" spans="6:17" ht="14.25">
      <c r="F258" s="1032">
        <v>10163</v>
      </c>
      <c r="G258" s="1544"/>
      <c r="H258" s="136" t="s">
        <v>390</v>
      </c>
      <c r="I258" s="1"/>
      <c r="M258" s="3"/>
      <c r="O258" s="23"/>
      <c r="P258" s="45"/>
      <c r="Q258" s="3"/>
    </row>
    <row r="259" spans="6:17" ht="14.25">
      <c r="F259" s="1032">
        <v>1674</v>
      </c>
      <c r="G259" s="1544"/>
      <c r="H259" s="136" t="s">
        <v>398</v>
      </c>
      <c r="I259" s="1"/>
      <c r="O259" s="23"/>
      <c r="P259" s="45"/>
      <c r="Q259" s="3"/>
    </row>
    <row r="260" spans="6:17" ht="14.25">
      <c r="F260" s="1032">
        <v>220457.03</v>
      </c>
      <c r="G260" s="1544"/>
      <c r="H260" s="136" t="s">
        <v>282</v>
      </c>
      <c r="I260" s="1"/>
      <c r="O260" s="23"/>
      <c r="P260" s="45"/>
      <c r="Q260" s="3"/>
    </row>
    <row r="261" spans="6:17" ht="14.25">
      <c r="F261" s="1032">
        <v>1674</v>
      </c>
      <c r="G261" s="1544"/>
      <c r="H261" s="136" t="s">
        <v>388</v>
      </c>
      <c r="I261" s="1"/>
      <c r="O261" s="23"/>
      <c r="P261" s="45"/>
      <c r="Q261" s="3"/>
    </row>
    <row r="262" spans="6:17" ht="14.25">
      <c r="F262" s="1032">
        <v>15849</v>
      </c>
      <c r="G262" s="1544"/>
      <c r="H262" s="136" t="s">
        <v>389</v>
      </c>
      <c r="I262" s="1"/>
      <c r="O262" s="23"/>
      <c r="P262" s="45"/>
      <c r="Q262" s="3"/>
    </row>
    <row r="263" spans="6:17" ht="14.25">
      <c r="F263" s="1032">
        <v>171071.14</v>
      </c>
      <c r="G263" s="1544"/>
      <c r="H263" s="157" t="s">
        <v>370</v>
      </c>
      <c r="I263" s="1"/>
      <c r="N263" s="23"/>
      <c r="O263" s="23"/>
      <c r="P263" s="45"/>
      <c r="Q263" s="3"/>
    </row>
    <row r="264" spans="6:16" ht="14.25">
      <c r="F264" s="1032">
        <v>10262</v>
      </c>
      <c r="G264" s="1544"/>
      <c r="H264" s="157" t="s">
        <v>369</v>
      </c>
      <c r="I264" s="1"/>
      <c r="N264" s="23"/>
      <c r="O264" s="141"/>
      <c r="P264" s="45"/>
    </row>
    <row r="265" spans="6:17" ht="14.25">
      <c r="F265" s="1032">
        <v>2232</v>
      </c>
      <c r="G265" s="1544"/>
      <c r="H265" s="157" t="s">
        <v>371</v>
      </c>
      <c r="I265" s="1"/>
      <c r="J265" s="23"/>
      <c r="K265" s="8"/>
      <c r="L265" s="193"/>
      <c r="M265" s="23"/>
      <c r="N265" s="23"/>
      <c r="O265" s="23"/>
      <c r="P265" s="8"/>
      <c r="Q265" s="193"/>
    </row>
    <row r="266" spans="6:17" ht="14.25">
      <c r="F266" s="1031">
        <v>358737.17</v>
      </c>
      <c r="G266" s="1544"/>
      <c r="H266" s="157" t="s">
        <v>376</v>
      </c>
      <c r="I266" s="1"/>
      <c r="J266" s="161"/>
      <c r="K266" s="162"/>
      <c r="L266" s="45"/>
      <c r="M266" s="45"/>
      <c r="N266" s="23"/>
      <c r="O266" s="23"/>
      <c r="P266" s="194"/>
      <c r="Q266" s="195"/>
    </row>
    <row r="267" spans="6:17" ht="14.25">
      <c r="F267" s="1031">
        <v>6723.6</v>
      </c>
      <c r="G267" s="1544"/>
      <c r="H267" s="157" t="s">
        <v>377</v>
      </c>
      <c r="I267" s="1"/>
      <c r="J267" s="892"/>
      <c r="K267" s="893"/>
      <c r="L267" s="184"/>
      <c r="M267" s="23"/>
      <c r="N267" s="23"/>
      <c r="O267" s="23"/>
      <c r="P267" s="194"/>
      <c r="Q267" s="144"/>
    </row>
    <row r="268" spans="6:17" ht="15" thickBot="1">
      <c r="F268" s="187"/>
      <c r="G268" s="1546"/>
      <c r="H268" s="197"/>
      <c r="I268" s="42"/>
      <c r="J268" s="23"/>
      <c r="K268" s="23"/>
      <c r="L268" s="45"/>
      <c r="M268" s="45"/>
      <c r="O268" s="185"/>
      <c r="P268" s="23"/>
      <c r="Q268" s="142"/>
    </row>
    <row r="269" spans="4:17" ht="15.75" thickBot="1">
      <c r="D269" s="3"/>
      <c r="F269" s="196">
        <f>SUM(F223:F268)</f>
        <v>2376888.91</v>
      </c>
      <c r="G269" s="192"/>
      <c r="H269" s="35" t="s">
        <v>278</v>
      </c>
      <c r="I269" s="42"/>
      <c r="J269" s="23"/>
      <c r="K269" s="31"/>
      <c r="L269" s="94"/>
      <c r="M269" s="23"/>
      <c r="Q269" s="3"/>
    </row>
    <row r="270" spans="4:18" ht="15" customHeight="1">
      <c r="D270" s="66"/>
      <c r="E270" s="199"/>
      <c r="F270" s="1069">
        <v>4047.57</v>
      </c>
      <c r="G270" s="1525" t="s">
        <v>449</v>
      </c>
      <c r="H270" s="62" t="s">
        <v>740</v>
      </c>
      <c r="I270" s="855"/>
      <c r="J270" s="1"/>
      <c r="R270" s="32"/>
    </row>
    <row r="271" spans="5:17" ht="18" customHeight="1">
      <c r="E271" s="202"/>
      <c r="F271" s="1070">
        <v>19649.26</v>
      </c>
      <c r="G271" s="1526"/>
      <c r="H271" s="1527" t="s">
        <v>440</v>
      </c>
      <c r="I271" s="1528"/>
      <c r="J271" s="11"/>
      <c r="O271" s="5"/>
      <c r="P271" s="23"/>
      <c r="Q271" s="3"/>
    </row>
    <row r="272" spans="5:17" ht="18" customHeight="1">
      <c r="E272" s="202"/>
      <c r="F272" s="1070">
        <v>17018.61</v>
      </c>
      <c r="G272" s="1526"/>
      <c r="H272" s="1527" t="s">
        <v>441</v>
      </c>
      <c r="I272" s="1528"/>
      <c r="J272" s="1528"/>
      <c r="O272" s="5"/>
      <c r="P272" s="23"/>
      <c r="Q272" s="3"/>
    </row>
    <row r="273" spans="5:17" ht="15" customHeight="1">
      <c r="E273" s="202"/>
      <c r="F273" s="1070">
        <v>14191.09</v>
      </c>
      <c r="G273" s="1526"/>
      <c r="H273" s="1527" t="s">
        <v>442</v>
      </c>
      <c r="I273" s="1528"/>
      <c r="J273" s="1528"/>
      <c r="O273" s="5"/>
      <c r="P273" s="23"/>
      <c r="Q273" s="3"/>
    </row>
    <row r="274" spans="5:17" ht="12.75" customHeight="1">
      <c r="E274" s="202"/>
      <c r="F274" s="1070">
        <v>16631.65</v>
      </c>
      <c r="G274" s="1526"/>
      <c r="H274" s="1527" t="s">
        <v>480</v>
      </c>
      <c r="I274" s="1528"/>
      <c r="J274" s="1528"/>
      <c r="O274" s="5"/>
      <c r="P274" s="23"/>
      <c r="Q274" s="3"/>
    </row>
    <row r="275" spans="5:17" ht="12.75" customHeight="1">
      <c r="E275" s="202"/>
      <c r="F275" s="1070">
        <v>34918.8</v>
      </c>
      <c r="G275" s="1526"/>
      <c r="H275" s="1082" t="s">
        <v>490</v>
      </c>
      <c r="I275" s="980"/>
      <c r="J275" s="980"/>
      <c r="O275" s="5"/>
      <c r="P275" s="23"/>
      <c r="Q275" s="3"/>
    </row>
    <row r="276" spans="5:17" ht="12.75" customHeight="1">
      <c r="E276" s="202"/>
      <c r="F276" s="1070">
        <v>48988.7</v>
      </c>
      <c r="G276" s="1526"/>
      <c r="H276" s="1082" t="s">
        <v>491</v>
      </c>
      <c r="I276" s="980"/>
      <c r="J276" s="980"/>
      <c r="O276" s="5"/>
      <c r="P276" s="23"/>
      <c r="Q276" s="3"/>
    </row>
    <row r="277" spans="5:17" ht="15">
      <c r="E277" s="15"/>
      <c r="F277" s="1070">
        <v>1616.83</v>
      </c>
      <c r="G277" s="1526"/>
      <c r="H277" s="1083" t="s">
        <v>453</v>
      </c>
      <c r="I277" s="512"/>
      <c r="J277" s="11"/>
      <c r="O277" s="5"/>
      <c r="P277" s="23"/>
      <c r="Q277" s="3"/>
    </row>
    <row r="278" spans="5:17" ht="15">
      <c r="E278" s="15"/>
      <c r="F278" s="1070">
        <v>1955.15</v>
      </c>
      <c r="G278" s="1526"/>
      <c r="H278" s="1083" t="s">
        <v>452</v>
      </c>
      <c r="I278" s="512"/>
      <c r="J278" s="11"/>
      <c r="O278" s="5"/>
      <c r="P278" s="23"/>
      <c r="Q278" s="3"/>
    </row>
    <row r="279" spans="5:17" ht="15">
      <c r="E279" s="15"/>
      <c r="F279" s="1070">
        <v>18023.71</v>
      </c>
      <c r="G279" s="1526"/>
      <c r="H279" s="1083" t="s">
        <v>448</v>
      </c>
      <c r="I279" s="512"/>
      <c r="J279" s="11"/>
      <c r="O279" s="5"/>
      <c r="P279" s="23"/>
      <c r="Q279" s="3"/>
    </row>
    <row r="280" spans="5:17" ht="15">
      <c r="E280" s="15"/>
      <c r="F280" s="1070">
        <v>1843.7</v>
      </c>
      <c r="G280" s="1526"/>
      <c r="H280" s="1083" t="s">
        <v>488</v>
      </c>
      <c r="I280" s="1065"/>
      <c r="J280" s="11"/>
      <c r="O280" s="5"/>
      <c r="P280" s="23"/>
      <c r="Q280" s="3"/>
    </row>
    <row r="281" spans="4:17" ht="15">
      <c r="D281" s="166"/>
      <c r="E281" s="15"/>
      <c r="F281" s="1070">
        <v>39920.16</v>
      </c>
      <c r="G281" s="1526"/>
      <c r="H281" s="885" t="s">
        <v>446</v>
      </c>
      <c r="I281" s="886"/>
      <c r="J281" s="11"/>
      <c r="O281" s="5"/>
      <c r="P281" s="23"/>
      <c r="Q281" s="3"/>
    </row>
    <row r="282" spans="4:17" ht="15">
      <c r="D282" s="166"/>
      <c r="E282" s="15"/>
      <c r="F282" s="1070">
        <v>5038.51</v>
      </c>
      <c r="G282" s="1526"/>
      <c r="H282" s="885" t="s">
        <v>447</v>
      </c>
      <c r="I282" s="886"/>
      <c r="J282" s="11"/>
      <c r="O282" s="5"/>
      <c r="P282" s="23"/>
      <c r="Q282" s="3"/>
    </row>
    <row r="283" spans="5:17" ht="15">
      <c r="E283" s="15"/>
      <c r="F283" s="1070">
        <v>500</v>
      </c>
      <c r="G283" s="1526"/>
      <c r="H283" s="55" t="s">
        <v>762</v>
      </c>
      <c r="I283" s="1"/>
      <c r="J283" s="11"/>
      <c r="O283" s="5"/>
      <c r="P283" s="23"/>
      <c r="Q283" s="3"/>
    </row>
    <row r="284" spans="5:17" ht="15">
      <c r="E284" s="15"/>
      <c r="F284" s="1064">
        <v>34413.26</v>
      </c>
      <c r="G284" s="1526"/>
      <c r="H284" s="44" t="s">
        <v>724</v>
      </c>
      <c r="I284" s="1"/>
      <c r="J284" s="11"/>
      <c r="O284" s="5"/>
      <c r="P284" s="23"/>
      <c r="Q284" s="3"/>
    </row>
    <row r="285" spans="5:17" ht="15">
      <c r="E285" s="15"/>
      <c r="F285" s="1064">
        <v>86791.53</v>
      </c>
      <c r="G285" s="1526"/>
      <c r="H285" s="44" t="s">
        <v>738</v>
      </c>
      <c r="I285" s="1"/>
      <c r="J285" s="11"/>
      <c r="O285" s="5"/>
      <c r="P285" s="23"/>
      <c r="Q285" s="3"/>
    </row>
    <row r="286" spans="5:17" ht="15">
      <c r="E286" s="15"/>
      <c r="F286" s="1064">
        <v>25257.21</v>
      </c>
      <c r="G286" s="1526"/>
      <c r="H286" s="44" t="s">
        <v>769</v>
      </c>
      <c r="I286" s="1"/>
      <c r="J286" s="11"/>
      <c r="O286" s="5"/>
      <c r="P286" s="23"/>
      <c r="Q286" s="3"/>
    </row>
    <row r="287" spans="5:17" ht="15" customHeight="1">
      <c r="E287" s="15"/>
      <c r="F287" s="1064">
        <v>13584.09</v>
      </c>
      <c r="G287" s="1526"/>
      <c r="H287" s="52" t="s">
        <v>476</v>
      </c>
      <c r="I287" s="1"/>
      <c r="J287" s="11"/>
      <c r="O287" s="5"/>
      <c r="P287" s="23"/>
      <c r="Q287" s="3"/>
    </row>
    <row r="288" spans="5:17" ht="14.25" customHeight="1">
      <c r="E288" s="15"/>
      <c r="F288" s="1071">
        <v>69824.6</v>
      </c>
      <c r="G288" s="1526"/>
      <c r="H288" s="44" t="s">
        <v>477</v>
      </c>
      <c r="I288" s="1"/>
      <c r="J288" s="1"/>
      <c r="O288" s="23"/>
      <c r="P288" s="45"/>
      <c r="Q288" s="3"/>
    </row>
    <row r="289" spans="5:17" ht="14.25" customHeight="1">
      <c r="E289" s="15"/>
      <c r="F289" s="1071">
        <v>25534.55</v>
      </c>
      <c r="G289" s="1526"/>
      <c r="H289" s="44" t="s">
        <v>429</v>
      </c>
      <c r="I289" s="1"/>
      <c r="J289" s="1">
        <v>180227.08</v>
      </c>
      <c r="K289" s="3">
        <f>F300</f>
        <v>12450.56</v>
      </c>
      <c r="N289" s="45"/>
      <c r="O289" s="23"/>
      <c r="P289" s="45"/>
      <c r="Q289" s="3"/>
    </row>
    <row r="290" spans="5:17" ht="14.25" customHeight="1">
      <c r="E290" s="15"/>
      <c r="F290" s="1071">
        <v>24068.14</v>
      </c>
      <c r="G290" s="1526"/>
      <c r="H290" s="44" t="s">
        <v>430</v>
      </c>
      <c r="I290" s="1"/>
      <c r="J290" s="11"/>
      <c r="N290" s="45"/>
      <c r="O290" s="23"/>
      <c r="P290" s="45"/>
      <c r="Q290" s="3"/>
    </row>
    <row r="291" spans="5:17" ht="14.25" customHeight="1">
      <c r="E291" s="15"/>
      <c r="F291" s="1071">
        <v>24449.64</v>
      </c>
      <c r="G291" s="1526"/>
      <c r="H291" s="44" t="s">
        <v>481</v>
      </c>
      <c r="I291" s="1"/>
      <c r="J291" s="1"/>
      <c r="N291" s="45"/>
      <c r="O291" s="23"/>
      <c r="P291" s="45"/>
      <c r="Q291" s="3"/>
    </row>
    <row r="292" spans="5:17" ht="14.25" customHeight="1">
      <c r="E292" s="15"/>
      <c r="F292" s="1071">
        <v>26147.06</v>
      </c>
      <c r="G292" s="1526"/>
      <c r="H292" s="44" t="s">
        <v>482</v>
      </c>
      <c r="I292" s="1"/>
      <c r="J292" s="1"/>
      <c r="N292" s="45"/>
      <c r="O292" s="23"/>
      <c r="P292" s="45"/>
      <c r="Q292" s="3"/>
    </row>
    <row r="293" spans="5:17" ht="14.25" customHeight="1">
      <c r="E293" s="15"/>
      <c r="F293" s="1071">
        <v>17822.14</v>
      </c>
      <c r="G293" s="1526"/>
      <c r="H293" s="44" t="s">
        <v>483</v>
      </c>
      <c r="I293" s="1"/>
      <c r="J293" s="1"/>
      <c r="N293" s="45"/>
      <c r="O293" s="23"/>
      <c r="P293" s="45"/>
      <c r="Q293" s="3"/>
    </row>
    <row r="294" spans="5:17" ht="14.25" customHeight="1">
      <c r="E294" s="15"/>
      <c r="F294" s="1071">
        <v>17822.14</v>
      </c>
      <c r="G294" s="158"/>
      <c r="H294" s="44" t="s">
        <v>484</v>
      </c>
      <c r="I294" s="1"/>
      <c r="J294" s="1"/>
      <c r="N294" s="45"/>
      <c r="O294" s="23"/>
      <c r="P294" s="45"/>
      <c r="Q294" s="3"/>
    </row>
    <row r="295" spans="5:17" ht="14.25" customHeight="1">
      <c r="E295" s="15"/>
      <c r="F295" s="1071">
        <v>16599.11</v>
      </c>
      <c r="G295" s="158"/>
      <c r="H295" s="44" t="s">
        <v>485</v>
      </c>
      <c r="I295" s="1"/>
      <c r="J295" s="1"/>
      <c r="N295" s="45"/>
      <c r="O295" s="23"/>
      <c r="P295" s="45"/>
      <c r="Q295" s="3"/>
    </row>
    <row r="296" spans="5:17" ht="14.25" customHeight="1">
      <c r="E296" s="15"/>
      <c r="F296" s="1071">
        <v>27784.3</v>
      </c>
      <c r="G296" s="158"/>
      <c r="H296" s="44" t="s">
        <v>486</v>
      </c>
      <c r="I296" s="1"/>
      <c r="J296" s="1"/>
      <c r="N296" s="23"/>
      <c r="O296" s="23"/>
      <c r="P296" s="45"/>
      <c r="Q296" s="3"/>
    </row>
    <row r="297" spans="5:17" ht="14.25" customHeight="1">
      <c r="E297" s="15"/>
      <c r="F297" s="1071">
        <v>47065.6</v>
      </c>
      <c r="G297" s="158"/>
      <c r="H297" s="44" t="s">
        <v>732</v>
      </c>
      <c r="I297" s="1"/>
      <c r="J297" s="1"/>
      <c r="N297" s="23"/>
      <c r="O297" s="23"/>
      <c r="P297" s="45"/>
      <c r="Q297" s="3"/>
    </row>
    <row r="298" spans="5:17" ht="14.25" customHeight="1">
      <c r="E298" s="15"/>
      <c r="F298" s="1071">
        <v>42185.64</v>
      </c>
      <c r="G298" s="158"/>
      <c r="H298" s="44" t="s">
        <v>732</v>
      </c>
      <c r="I298" s="1"/>
      <c r="J298" s="1"/>
      <c r="M298" s="1079" t="s">
        <v>424</v>
      </c>
      <c r="N298" s="8">
        <v>2016</v>
      </c>
      <c r="O298" s="23"/>
      <c r="P298" s="45"/>
      <c r="Q298" s="3"/>
    </row>
    <row r="299" spans="5:17" ht="14.25" customHeight="1">
      <c r="E299" s="15"/>
      <c r="F299" s="1071">
        <v>26876.26</v>
      </c>
      <c r="G299" s="158"/>
      <c r="H299" s="44" t="s">
        <v>767</v>
      </c>
      <c r="I299" s="1"/>
      <c r="J299" s="1"/>
      <c r="L299" s="398" t="s">
        <v>773</v>
      </c>
      <c r="M299" s="64">
        <v>2111.212</v>
      </c>
      <c r="N299" s="984">
        <f>F270</f>
        <v>4047.57</v>
      </c>
      <c r="O299" s="23"/>
      <c r="P299" s="45"/>
      <c r="Q299" s="3"/>
    </row>
    <row r="300" spans="5:17" ht="14.25" customHeight="1">
      <c r="E300" s="15"/>
      <c r="F300" s="1071">
        <v>12450.56</v>
      </c>
      <c r="G300" s="158"/>
      <c r="H300" s="44" t="s">
        <v>433</v>
      </c>
      <c r="I300" s="1"/>
      <c r="J300" s="1"/>
      <c r="L300" s="29">
        <v>100101</v>
      </c>
      <c r="M300" s="159">
        <v>2240</v>
      </c>
      <c r="N300" s="985">
        <f>F271+F272+F273+F274+F275+F276</f>
        <v>151398.11</v>
      </c>
      <c r="O300" s="23"/>
      <c r="P300" s="45"/>
      <c r="Q300" s="3"/>
    </row>
    <row r="301" spans="5:17" ht="14.25" customHeight="1">
      <c r="E301" s="15"/>
      <c r="F301" s="1071">
        <v>11241.78</v>
      </c>
      <c r="G301" s="158"/>
      <c r="H301" s="44" t="s">
        <v>487</v>
      </c>
      <c r="I301" s="1"/>
      <c r="J301" s="1"/>
      <c r="L301" s="747">
        <v>100101</v>
      </c>
      <c r="M301" s="869">
        <v>3132</v>
      </c>
      <c r="N301" s="991">
        <f>F277+F278+F279+F280</f>
        <v>23439.39</v>
      </c>
      <c r="O301" s="23"/>
      <c r="P301" s="45"/>
      <c r="Q301" s="3"/>
    </row>
    <row r="302" spans="5:17" ht="14.25" customHeight="1">
      <c r="E302" s="15"/>
      <c r="F302" s="1071">
        <v>11241.78</v>
      </c>
      <c r="G302" s="158"/>
      <c r="H302" s="44" t="s">
        <v>487</v>
      </c>
      <c r="I302" s="1"/>
      <c r="J302" s="1"/>
      <c r="L302" s="746">
        <v>100202</v>
      </c>
      <c r="M302" s="746">
        <v>2240</v>
      </c>
      <c r="N302" s="1077">
        <f>F281+F282</f>
        <v>44958.670000000006</v>
      </c>
      <c r="O302" s="23"/>
      <c r="P302" s="45"/>
      <c r="Q302" s="3"/>
    </row>
    <row r="303" spans="5:17" ht="14.25" customHeight="1">
      <c r="E303" s="15"/>
      <c r="F303" s="1071">
        <v>77948.46</v>
      </c>
      <c r="G303" s="158"/>
      <c r="H303" s="44" t="s">
        <v>426</v>
      </c>
      <c r="I303" s="1"/>
      <c r="J303" s="1"/>
      <c r="L303" s="117">
        <v>100203</v>
      </c>
      <c r="M303" s="121">
        <v>2210</v>
      </c>
      <c r="N303" s="986">
        <f>F283</f>
        <v>500</v>
      </c>
      <c r="O303" s="23"/>
      <c r="P303" s="45"/>
      <c r="Q303" s="3"/>
    </row>
    <row r="304" spans="5:17" ht="14.25" customHeight="1">
      <c r="E304" s="15"/>
      <c r="F304" s="1071">
        <v>103358.66</v>
      </c>
      <c r="G304" s="158"/>
      <c r="H304" s="44" t="s">
        <v>427</v>
      </c>
      <c r="I304" s="1"/>
      <c r="J304" s="1"/>
      <c r="L304" s="46">
        <v>100203</v>
      </c>
      <c r="M304" s="46">
        <v>2240</v>
      </c>
      <c r="N304" s="987">
        <f>F284+F285+F286+F287+F288+F289+F290+F291+F292+F293+F294+F295+F296+F297+F298+F299+F300+F301+F302+F303+F304+F305+F306+F307+F308</f>
        <v>1038755.7800000001</v>
      </c>
      <c r="O304" s="23"/>
      <c r="P304" s="45"/>
      <c r="Q304" s="3"/>
    </row>
    <row r="305" spans="5:17" ht="14.25" customHeight="1">
      <c r="E305" s="15"/>
      <c r="F305" s="1071">
        <v>3716.49</v>
      </c>
      <c r="G305" s="158"/>
      <c r="H305" s="44" t="s">
        <v>428</v>
      </c>
      <c r="I305" s="1"/>
      <c r="J305" s="1"/>
      <c r="L305" s="124">
        <v>100203</v>
      </c>
      <c r="M305" s="124">
        <v>3110</v>
      </c>
      <c r="N305" s="1076">
        <f>F309+F310</f>
        <v>199000</v>
      </c>
      <c r="O305" s="23"/>
      <c r="P305" s="45"/>
      <c r="Q305" s="3"/>
    </row>
    <row r="306" spans="5:17" ht="14.25" customHeight="1">
      <c r="E306" s="15"/>
      <c r="F306" s="1071">
        <v>17055.4</v>
      </c>
      <c r="G306" s="158"/>
      <c r="H306" s="44" t="s">
        <v>474</v>
      </c>
      <c r="I306" s="1"/>
      <c r="J306" s="1"/>
      <c r="L306" s="49">
        <v>100203</v>
      </c>
      <c r="M306" s="49">
        <v>3132</v>
      </c>
      <c r="N306" s="1078">
        <f>F311+F312+F313+F314+F315+F316+F317</f>
        <v>969687.6099999999</v>
      </c>
      <c r="O306" s="23"/>
      <c r="P306" s="45"/>
      <c r="Q306" s="3"/>
    </row>
    <row r="307" spans="5:17" ht="14.25" customHeight="1">
      <c r="E307" s="15"/>
      <c r="F307" s="1071">
        <v>86937.38</v>
      </c>
      <c r="G307" s="158"/>
      <c r="H307" s="44" t="s">
        <v>475</v>
      </c>
      <c r="I307" s="1"/>
      <c r="J307" s="1"/>
      <c r="L307" s="48">
        <v>100302</v>
      </c>
      <c r="M307" s="48">
        <v>2240</v>
      </c>
      <c r="N307" s="1075">
        <f>F342+F343+F344</f>
        <v>16594.16</v>
      </c>
      <c r="O307" s="23"/>
      <c r="P307" s="45"/>
      <c r="Q307" s="3"/>
    </row>
    <row r="308" spans="5:17" ht="14.25" customHeight="1">
      <c r="E308" s="15"/>
      <c r="F308" s="1071">
        <v>188580</v>
      </c>
      <c r="G308" s="158"/>
      <c r="H308" s="44" t="s">
        <v>458</v>
      </c>
      <c r="I308" s="1"/>
      <c r="J308" s="1"/>
      <c r="L308" s="51">
        <v>170703</v>
      </c>
      <c r="M308" s="51">
        <v>3132</v>
      </c>
      <c r="N308" s="990">
        <f>F318+F319+F320+F321+F322+F323+F324+F325+F326+F328+F329+F330+F331+F332+F333+F327+F334+F335+F336+F337+F338+F339+F340+F341</f>
        <v>5477723.220000001</v>
      </c>
      <c r="O308" s="23"/>
      <c r="P308" s="45"/>
      <c r="Q308" s="3"/>
    </row>
    <row r="309" spans="5:17" ht="14.25" customHeight="1">
      <c r="E309" s="15"/>
      <c r="F309" s="1071">
        <v>120000</v>
      </c>
      <c r="G309" s="158"/>
      <c r="H309" s="1063" t="s">
        <v>489</v>
      </c>
      <c r="I309" s="1"/>
      <c r="J309" s="1"/>
      <c r="L309" s="1066"/>
      <c r="M309" s="1067"/>
      <c r="N309" s="1068"/>
      <c r="O309" s="23"/>
      <c r="P309" s="45"/>
      <c r="Q309" s="3"/>
    </row>
    <row r="310" spans="5:16" ht="15">
      <c r="E310" s="200"/>
      <c r="F310" s="1064">
        <v>79000</v>
      </c>
      <c r="G310" s="158"/>
      <c r="H310" s="1063" t="s">
        <v>425</v>
      </c>
      <c r="I310" s="1"/>
      <c r="J310" s="1"/>
      <c r="K310" s="23"/>
      <c r="N310" s="181">
        <f>SUM(N299:N309)</f>
        <v>7926104.510000001</v>
      </c>
      <c r="O310" s="141"/>
      <c r="P310" s="45"/>
    </row>
    <row r="311" spans="5:16" ht="15">
      <c r="E311" s="200"/>
      <c r="F311" s="1072">
        <v>116157.78</v>
      </c>
      <c r="G311" s="158"/>
      <c r="H311" s="61" t="s">
        <v>463</v>
      </c>
      <c r="I311" s="1"/>
      <c r="J311" s="1"/>
      <c r="K311" s="23"/>
      <c r="L311" s="8"/>
      <c r="M311" s="193"/>
      <c r="N311" s="23"/>
      <c r="O311" s="23"/>
      <c r="P311" s="45"/>
    </row>
    <row r="312" spans="5:16" ht="15">
      <c r="E312" s="200"/>
      <c r="F312" s="1072">
        <v>175347.78</v>
      </c>
      <c r="G312" s="158"/>
      <c r="H312" s="61" t="s">
        <v>464</v>
      </c>
      <c r="I312" s="1"/>
      <c r="J312" s="1"/>
      <c r="K312" s="23"/>
      <c r="L312" s="5"/>
      <c r="M312" s="193"/>
      <c r="N312" s="23"/>
      <c r="O312" s="23"/>
      <c r="P312" s="45"/>
    </row>
    <row r="313" spans="5:16" ht="15">
      <c r="E313" s="200"/>
      <c r="F313" s="1072">
        <v>106859.78</v>
      </c>
      <c r="G313" s="158"/>
      <c r="H313" s="61" t="s">
        <v>465</v>
      </c>
      <c r="I313" s="1"/>
      <c r="J313" s="1"/>
      <c r="K313" s="23" t="s">
        <v>496</v>
      </c>
      <c r="L313" s="5">
        <f>Q243+N310</f>
        <v>23455592.34</v>
      </c>
      <c r="M313" s="193"/>
      <c r="N313" s="23"/>
      <c r="O313" s="23"/>
      <c r="P313" s="45"/>
    </row>
    <row r="314" spans="5:16" ht="15">
      <c r="E314" s="200"/>
      <c r="F314" s="1072">
        <v>144093.66</v>
      </c>
      <c r="G314" s="158"/>
      <c r="H314" s="61" t="s">
        <v>466</v>
      </c>
      <c r="I314" s="1"/>
      <c r="J314" s="1"/>
      <c r="K314" s="23"/>
      <c r="L314" s="8"/>
      <c r="M314" s="193"/>
      <c r="N314" s="23"/>
      <c r="O314" s="23"/>
      <c r="P314" s="45"/>
    </row>
    <row r="315" spans="4:16" ht="15">
      <c r="D315" s="166"/>
      <c r="E315" s="200"/>
      <c r="F315" s="1072">
        <v>149417.36</v>
      </c>
      <c r="G315" s="158"/>
      <c r="H315" s="61" t="s">
        <v>467</v>
      </c>
      <c r="I315" s="1"/>
      <c r="J315" s="1"/>
      <c r="K315" s="1081">
        <f>F18+F33+F55+F92+F132+F180+F222+F269+F345</f>
        <v>23455592.34</v>
      </c>
      <c r="L315" s="162"/>
      <c r="M315" s="45"/>
      <c r="N315" s="23"/>
      <c r="O315" s="23"/>
      <c r="P315" s="45"/>
    </row>
    <row r="316" spans="5:16" ht="15">
      <c r="E316" s="200"/>
      <c r="F316" s="1072">
        <v>260764.05</v>
      </c>
      <c r="G316" s="158"/>
      <c r="H316" s="61" t="s">
        <v>450</v>
      </c>
      <c r="I316" s="1"/>
      <c r="J316" s="1"/>
      <c r="K316" s="892"/>
      <c r="L316" s="893"/>
      <c r="M316" s="184"/>
      <c r="N316" s="23"/>
      <c r="O316" s="23"/>
      <c r="P316" s="45"/>
    </row>
    <row r="317" spans="5:16" ht="15">
      <c r="E317" s="200"/>
      <c r="F317" s="1072">
        <v>17047.2</v>
      </c>
      <c r="G317" s="158"/>
      <c r="H317" s="61" t="s">
        <v>432</v>
      </c>
      <c r="I317" s="1"/>
      <c r="J317" s="1"/>
      <c r="K317" s="23"/>
      <c r="L317" s="141"/>
      <c r="M317" s="45"/>
      <c r="N317" s="23"/>
      <c r="O317" s="23"/>
      <c r="P317" s="45"/>
    </row>
    <row r="318" spans="6:16" ht="15">
      <c r="F318" s="1064">
        <v>313823.4</v>
      </c>
      <c r="G318" s="158"/>
      <c r="H318" s="136" t="s">
        <v>436</v>
      </c>
      <c r="I318" s="1"/>
      <c r="J318" s="1"/>
      <c r="K318" s="23"/>
      <c r="L318" s="23"/>
      <c r="M318" s="45"/>
      <c r="N318" s="23"/>
      <c r="O318" s="23"/>
      <c r="P318" s="45"/>
    </row>
    <row r="319" spans="6:16" ht="15">
      <c r="F319" s="1064">
        <v>2232</v>
      </c>
      <c r="G319" s="158"/>
      <c r="H319" s="136" t="s">
        <v>434</v>
      </c>
      <c r="I319" s="1"/>
      <c r="J319" s="1"/>
      <c r="K319" s="23"/>
      <c r="L319" s="23"/>
      <c r="M319" s="45"/>
      <c r="N319" s="23"/>
      <c r="O319" s="23"/>
      <c r="P319" s="45"/>
    </row>
    <row r="320" spans="6:16" ht="15">
      <c r="F320" s="1064">
        <v>19061</v>
      </c>
      <c r="G320" s="158"/>
      <c r="H320" s="136" t="s">
        <v>437</v>
      </c>
      <c r="I320" s="1"/>
      <c r="J320" s="1"/>
      <c r="K320" s="23"/>
      <c r="L320" s="23"/>
      <c r="M320" s="142"/>
      <c r="N320" s="23"/>
      <c r="O320" s="23"/>
      <c r="P320" s="45"/>
    </row>
    <row r="321" spans="6:16" ht="15">
      <c r="F321" s="1064">
        <v>341922.04</v>
      </c>
      <c r="G321" s="158"/>
      <c r="H321" s="136" t="s">
        <v>431</v>
      </c>
      <c r="I321" s="1"/>
      <c r="J321" s="1"/>
      <c r="K321" s="23"/>
      <c r="L321" s="23"/>
      <c r="M321" s="45"/>
      <c r="N321" s="23"/>
      <c r="O321" s="23"/>
      <c r="P321" s="142"/>
    </row>
    <row r="322" spans="6:16" ht="15">
      <c r="F322" s="1064">
        <v>1674</v>
      </c>
      <c r="G322" s="158"/>
      <c r="H322" s="136" t="s">
        <v>435</v>
      </c>
      <c r="I322" s="1"/>
      <c r="J322" s="1"/>
      <c r="K322" s="185"/>
      <c r="L322" s="23"/>
      <c r="M322" s="45"/>
      <c r="N322" s="23"/>
      <c r="O322" s="23"/>
      <c r="P322" s="142"/>
    </row>
    <row r="323" spans="6:16" ht="15">
      <c r="F323" s="1064">
        <v>22448</v>
      </c>
      <c r="G323" s="158"/>
      <c r="H323" s="136" t="s">
        <v>438</v>
      </c>
      <c r="I323" s="1"/>
      <c r="J323" s="1"/>
      <c r="K323" s="23"/>
      <c r="L323" s="23"/>
      <c r="M323" s="23"/>
      <c r="N323" s="23"/>
      <c r="O323" s="23"/>
      <c r="P323" s="142"/>
    </row>
    <row r="324" spans="6:16" ht="15">
      <c r="F324" s="1064">
        <v>751523.04</v>
      </c>
      <c r="G324" s="158"/>
      <c r="H324" s="157" t="s">
        <v>439</v>
      </c>
      <c r="I324" s="1"/>
      <c r="J324" s="1"/>
      <c r="K324" s="23"/>
      <c r="L324" s="23"/>
      <c r="M324" s="45"/>
      <c r="N324" s="23"/>
      <c r="O324" s="23"/>
      <c r="P324" s="142"/>
    </row>
    <row r="325" spans="6:16" ht="15">
      <c r="F325" s="1064">
        <v>303630.96</v>
      </c>
      <c r="G325" s="158"/>
      <c r="H325" s="136" t="s">
        <v>472</v>
      </c>
      <c r="I325" s="1"/>
      <c r="J325" s="1"/>
      <c r="K325" s="23"/>
      <c r="L325" s="23"/>
      <c r="M325" s="45"/>
      <c r="N325" s="23"/>
      <c r="O325" s="23"/>
      <c r="P325" s="142"/>
    </row>
    <row r="326" spans="6:16" ht="15">
      <c r="F326" s="1064">
        <v>7214.4</v>
      </c>
      <c r="G326" s="158"/>
      <c r="H326" s="157" t="s">
        <v>455</v>
      </c>
      <c r="I326" s="1"/>
      <c r="J326" s="1"/>
      <c r="K326" s="23"/>
      <c r="L326" s="23"/>
      <c r="M326" s="45"/>
      <c r="N326" s="23"/>
      <c r="O326" s="23"/>
      <c r="P326" s="142"/>
    </row>
    <row r="327" spans="6:16" ht="14.25">
      <c r="F327" s="37">
        <v>2790</v>
      </c>
      <c r="G327" s="158"/>
      <c r="H327" s="136" t="s">
        <v>470</v>
      </c>
      <c r="I327" s="1"/>
      <c r="J327" s="1"/>
      <c r="K327" s="23"/>
      <c r="L327" s="23"/>
      <c r="M327" s="45"/>
      <c r="N327" s="23"/>
      <c r="O327" s="23"/>
      <c r="P327" s="142"/>
    </row>
    <row r="328" spans="6:16" ht="15">
      <c r="F328" s="1064">
        <v>790813.14</v>
      </c>
      <c r="G328" s="158"/>
      <c r="H328" s="157" t="s">
        <v>443</v>
      </c>
      <c r="I328" s="1"/>
      <c r="J328" s="1"/>
      <c r="M328" s="3"/>
      <c r="O328" s="23"/>
      <c r="P328" s="142"/>
    </row>
    <row r="329" spans="6:16" ht="15">
      <c r="F329" s="1064">
        <v>7299.6</v>
      </c>
      <c r="G329" s="158"/>
      <c r="H329" s="157" t="s">
        <v>454</v>
      </c>
      <c r="I329" s="1"/>
      <c r="J329" s="1"/>
      <c r="M329" s="3"/>
      <c r="O329" s="23"/>
      <c r="P329" s="142"/>
    </row>
    <row r="330" spans="6:16" ht="15">
      <c r="F330" s="1064">
        <v>7465.2</v>
      </c>
      <c r="G330" s="158"/>
      <c r="H330" s="136" t="s">
        <v>444</v>
      </c>
      <c r="I330" s="1"/>
      <c r="J330" s="1"/>
      <c r="M330" s="3"/>
      <c r="O330" s="23"/>
      <c r="P330" s="142"/>
    </row>
    <row r="331" spans="6:16" ht="15">
      <c r="F331" s="1064">
        <v>867601.36</v>
      </c>
      <c r="G331" s="158"/>
      <c r="H331" s="136" t="s">
        <v>457</v>
      </c>
      <c r="I331" s="1"/>
      <c r="J331" s="1"/>
      <c r="M331" s="3"/>
      <c r="O331" s="23"/>
      <c r="P331" s="142"/>
    </row>
    <row r="332" spans="6:16" ht="15">
      <c r="F332" s="1064">
        <v>6759.6</v>
      </c>
      <c r="G332" s="158"/>
      <c r="H332" s="136" t="s">
        <v>445</v>
      </c>
      <c r="I332" s="1"/>
      <c r="J332" s="1"/>
      <c r="M332" s="3"/>
      <c r="O332" s="23"/>
      <c r="P332" s="142"/>
    </row>
    <row r="333" spans="6:16" ht="14.25">
      <c r="F333" s="37">
        <v>441831.29</v>
      </c>
      <c r="G333" s="158"/>
      <c r="H333" s="136" t="s">
        <v>456</v>
      </c>
      <c r="I333" s="1"/>
      <c r="J333" s="1"/>
      <c r="M333" s="3"/>
      <c r="O333" s="23"/>
      <c r="P333" s="142"/>
    </row>
    <row r="334" spans="6:16" ht="15">
      <c r="F334" s="1064">
        <v>161395.63</v>
      </c>
      <c r="G334" s="158"/>
      <c r="H334" s="136" t="s">
        <v>473</v>
      </c>
      <c r="I334" s="1"/>
      <c r="J334" s="1"/>
      <c r="M334" s="3"/>
      <c r="O334" s="23"/>
      <c r="P334" s="142"/>
    </row>
    <row r="335" spans="6:16" ht="15">
      <c r="F335" s="1064">
        <v>1674</v>
      </c>
      <c r="G335" s="158"/>
      <c r="H335" s="136" t="s">
        <v>471</v>
      </c>
      <c r="I335" s="1"/>
      <c r="J335" s="1"/>
      <c r="N335" s="23"/>
      <c r="O335" s="23"/>
      <c r="P335" s="142"/>
    </row>
    <row r="336" spans="6:16" ht="15">
      <c r="F336" s="1064">
        <v>7407.6</v>
      </c>
      <c r="G336" s="158"/>
      <c r="H336" s="136" t="s">
        <v>478</v>
      </c>
      <c r="I336" s="1"/>
      <c r="J336" s="1"/>
      <c r="N336" s="23"/>
      <c r="O336" s="23"/>
      <c r="P336" s="142"/>
    </row>
    <row r="337" spans="6:16" ht="15">
      <c r="F337" s="1064">
        <v>7570.8</v>
      </c>
      <c r="G337" s="158"/>
      <c r="H337" s="136" t="s">
        <v>479</v>
      </c>
      <c r="I337" s="1"/>
      <c r="J337" s="1"/>
      <c r="N337" s="23"/>
      <c r="O337" s="23"/>
      <c r="P337" s="142"/>
    </row>
    <row r="338" spans="6:16" ht="15">
      <c r="F338" s="1064">
        <v>413534.52</v>
      </c>
      <c r="G338" s="158"/>
      <c r="H338" s="136" t="s">
        <v>492</v>
      </c>
      <c r="I338" s="1"/>
      <c r="J338" s="1"/>
      <c r="N338" s="23"/>
      <c r="O338" s="23"/>
      <c r="P338" s="142"/>
    </row>
    <row r="339" spans="6:16" ht="15">
      <c r="F339" s="1064">
        <v>7357.2</v>
      </c>
      <c r="G339" s="158"/>
      <c r="H339" s="136" t="s">
        <v>493</v>
      </c>
      <c r="I339" s="1"/>
      <c r="J339" s="1"/>
      <c r="N339" s="23"/>
      <c r="O339" s="23"/>
      <c r="P339" s="142"/>
    </row>
    <row r="340" spans="6:16" ht="15">
      <c r="F340" s="1064">
        <v>982502.04</v>
      </c>
      <c r="G340" s="158"/>
      <c r="H340" s="136" t="s">
        <v>494</v>
      </c>
      <c r="I340" s="1"/>
      <c r="J340" s="1"/>
      <c r="N340" s="23"/>
      <c r="O340" s="23"/>
      <c r="P340" s="142"/>
    </row>
    <row r="341" spans="6:16" ht="15">
      <c r="F341" s="1064">
        <v>8192.4</v>
      </c>
      <c r="G341" s="158"/>
      <c r="H341" s="136" t="s">
        <v>495</v>
      </c>
      <c r="I341" s="1"/>
      <c r="J341" s="1"/>
      <c r="N341" s="23"/>
      <c r="O341" s="23"/>
      <c r="P341" s="142"/>
    </row>
    <row r="342" spans="6:16" ht="15">
      <c r="F342" s="1064">
        <v>5196.41</v>
      </c>
      <c r="G342" s="158"/>
      <c r="H342" s="60" t="s">
        <v>723</v>
      </c>
      <c r="I342" s="1"/>
      <c r="J342" s="1"/>
      <c r="N342" s="23"/>
      <c r="O342" s="23"/>
      <c r="P342" s="142"/>
    </row>
    <row r="343" spans="6:16" ht="15">
      <c r="F343" s="1064">
        <v>9727.95</v>
      </c>
      <c r="G343" s="158"/>
      <c r="H343" s="60" t="s">
        <v>723</v>
      </c>
      <c r="I343" s="1"/>
      <c r="J343" s="1"/>
      <c r="N343" s="23"/>
      <c r="O343" s="23"/>
      <c r="P343" s="142"/>
    </row>
    <row r="344" spans="6:16" ht="15.75" thickBot="1">
      <c r="F344" s="1080">
        <v>1669.8</v>
      </c>
      <c r="G344" s="69"/>
      <c r="H344" s="1073" t="s">
        <v>723</v>
      </c>
      <c r="I344" s="1074"/>
      <c r="J344" s="14" t="s">
        <v>451</v>
      </c>
      <c r="N344" s="23"/>
      <c r="O344" s="23"/>
      <c r="P344" s="142"/>
    </row>
    <row r="345" spans="1:16" ht="15.75" thickBot="1">
      <c r="A345" s="201"/>
      <c r="D345" s="3"/>
      <c r="F345" s="110">
        <f>SUM(F270:F344)</f>
        <v>7926104.51</v>
      </c>
      <c r="G345" s="69"/>
      <c r="H345" s="35"/>
      <c r="I345" s="1"/>
      <c r="N345" s="5"/>
      <c r="O345" s="1557"/>
      <c r="P345" s="1557"/>
    </row>
    <row r="346" spans="1:16" ht="14.25" customHeight="1">
      <c r="A346" s="201"/>
      <c r="D346" s="3"/>
      <c r="E346" s="32"/>
      <c r="F346" s="92"/>
      <c r="G346" s="1559" t="s">
        <v>528</v>
      </c>
      <c r="H346" s="208"/>
      <c r="I346" s="1"/>
      <c r="N346" s="5"/>
      <c r="O346" s="6"/>
      <c r="P346" s="6"/>
    </row>
    <row r="347" spans="1:16" ht="14.25">
      <c r="A347" s="201"/>
      <c r="D347" s="3"/>
      <c r="E347" s="32"/>
      <c r="F347" s="37"/>
      <c r="G347" s="1560"/>
      <c r="H347" s="204"/>
      <c r="I347" s="1"/>
      <c r="N347" s="5"/>
      <c r="O347" s="6"/>
      <c r="P347" s="6"/>
    </row>
    <row r="348" spans="5:16" ht="15" customHeight="1">
      <c r="E348" s="32"/>
      <c r="F348" s="93"/>
      <c r="G348" s="1560"/>
      <c r="H348" s="44"/>
      <c r="I348" s="23"/>
      <c r="N348" s="5"/>
      <c r="O348" s="8"/>
      <c r="P348" s="145"/>
    </row>
    <row r="349" spans="5:16" ht="15" customHeight="1">
      <c r="E349" s="32"/>
      <c r="F349" s="93"/>
      <c r="G349" s="1560"/>
      <c r="H349" s="44"/>
      <c r="I349" s="1"/>
      <c r="N349" s="23"/>
      <c r="O349" s="23"/>
      <c r="P349" s="45"/>
    </row>
    <row r="350" spans="5:16" ht="15" customHeight="1">
      <c r="E350" s="32"/>
      <c r="F350" s="93"/>
      <c r="G350" s="1560"/>
      <c r="H350" s="44"/>
      <c r="I350" s="1"/>
      <c r="N350" s="23"/>
      <c r="O350" s="23"/>
      <c r="P350" s="45"/>
    </row>
    <row r="351" spans="5:16" ht="14.25">
      <c r="E351" s="23"/>
      <c r="F351" s="37"/>
      <c r="G351" s="1560"/>
      <c r="H351" s="44"/>
      <c r="I351" s="23"/>
      <c r="N351" s="23"/>
      <c r="O351" s="23"/>
      <c r="P351" s="45"/>
    </row>
    <row r="352" spans="5:16" ht="14.25">
      <c r="E352" s="32"/>
      <c r="F352" s="93"/>
      <c r="G352" s="1560"/>
      <c r="H352" s="44"/>
      <c r="I352" s="1"/>
      <c r="N352" s="23"/>
      <c r="O352" s="23"/>
      <c r="P352" s="45"/>
    </row>
    <row r="353" spans="5:16" ht="14.25">
      <c r="E353" s="32"/>
      <c r="F353" s="93"/>
      <c r="G353" s="1560"/>
      <c r="H353" s="209"/>
      <c r="I353" s="1"/>
      <c r="N353" s="23"/>
      <c r="O353" s="23"/>
      <c r="P353" s="45"/>
    </row>
    <row r="354" spans="4:16" ht="14.25">
      <c r="D354" s="31"/>
      <c r="E354" s="32"/>
      <c r="F354" s="93"/>
      <c r="G354" s="1560"/>
      <c r="H354" s="209"/>
      <c r="I354" s="1"/>
      <c r="N354" s="23"/>
      <c r="O354" s="141"/>
      <c r="P354" s="45"/>
    </row>
    <row r="355" spans="4:16" ht="14.25">
      <c r="D355" s="31"/>
      <c r="E355" s="32"/>
      <c r="F355" s="37"/>
      <c r="G355" s="1560"/>
      <c r="H355" s="44"/>
      <c r="I355" s="1"/>
      <c r="K355" s="23"/>
      <c r="L355" s="23"/>
      <c r="M355" s="1"/>
      <c r="N355" s="23"/>
      <c r="O355" s="23"/>
      <c r="P355" s="45"/>
    </row>
    <row r="356" spans="5:16" ht="14.25">
      <c r="E356" s="32"/>
      <c r="F356" s="93"/>
      <c r="G356" s="1560"/>
      <c r="H356" s="44"/>
      <c r="I356" s="1"/>
      <c r="K356" s="23"/>
      <c r="L356" s="23"/>
      <c r="M356" s="1"/>
      <c r="N356" s="23"/>
      <c r="O356" s="23"/>
      <c r="P356" s="142"/>
    </row>
    <row r="357" spans="5:16" ht="14.25">
      <c r="E357" s="32"/>
      <c r="F357" s="93"/>
      <c r="G357" s="1560"/>
      <c r="H357" s="44"/>
      <c r="I357" s="1"/>
      <c r="K357" s="23"/>
      <c r="L357" s="23"/>
      <c r="M357" s="1"/>
      <c r="N357" s="23"/>
      <c r="O357" s="23"/>
      <c r="P357" s="142"/>
    </row>
    <row r="358" spans="5:16" ht="14.25">
      <c r="E358" s="32"/>
      <c r="F358" s="93"/>
      <c r="G358" s="1560"/>
      <c r="H358" s="44"/>
      <c r="K358" s="23"/>
      <c r="L358" s="23"/>
      <c r="M358" s="1"/>
      <c r="N358" s="143"/>
      <c r="O358" s="23"/>
      <c r="P358" s="45"/>
    </row>
    <row r="359" spans="5:16" ht="15">
      <c r="E359" s="32"/>
      <c r="F359" s="93"/>
      <c r="G359" s="1560"/>
      <c r="H359" s="44"/>
      <c r="I359" s="30"/>
      <c r="K359" s="23"/>
      <c r="L359" s="23"/>
      <c r="M359" s="1"/>
      <c r="N359" s="23"/>
      <c r="O359" s="23"/>
      <c r="P359" s="45"/>
    </row>
    <row r="360" spans="5:13" ht="14.25">
      <c r="E360" s="32"/>
      <c r="F360" s="37"/>
      <c r="G360" s="198"/>
      <c r="H360" s="60"/>
      <c r="I360" s="23"/>
      <c r="K360" s="23"/>
      <c r="L360" s="23"/>
      <c r="M360" s="1"/>
    </row>
    <row r="361" spans="5:13" ht="14.25">
      <c r="E361" s="32"/>
      <c r="F361" s="93"/>
      <c r="G361" s="198"/>
      <c r="H361" s="60"/>
      <c r="I361" s="1"/>
      <c r="K361" s="23"/>
      <c r="L361" s="23"/>
      <c r="M361" s="1"/>
    </row>
    <row r="362" spans="5:19" ht="14.25">
      <c r="E362" s="32"/>
      <c r="F362" s="434"/>
      <c r="G362" s="198"/>
      <c r="H362" s="60"/>
      <c r="I362" s="31"/>
      <c r="K362" s="23"/>
      <c r="L362" s="23"/>
      <c r="M362" s="1"/>
      <c r="N362" s="5"/>
      <c r="O362" s="23"/>
      <c r="P362" s="94"/>
      <c r="Q362" s="23"/>
      <c r="R362" s="23"/>
      <c r="S362" s="23"/>
    </row>
    <row r="363" spans="5:19" ht="14.25">
      <c r="E363" s="32"/>
      <c r="F363" s="37"/>
      <c r="G363" s="198"/>
      <c r="H363" s="180"/>
      <c r="I363" s="1"/>
      <c r="K363" s="23"/>
      <c r="L363" s="8"/>
      <c r="M363" s="193"/>
      <c r="N363" s="23"/>
      <c r="O363" s="23"/>
      <c r="P363" s="45"/>
      <c r="Q363" s="23"/>
      <c r="R363" s="23"/>
      <c r="S363" s="23"/>
    </row>
    <row r="364" spans="5:19" ht="14.25">
      <c r="E364" s="32"/>
      <c r="F364" s="37"/>
      <c r="G364" s="198"/>
      <c r="H364" s="180"/>
      <c r="I364" s="1"/>
      <c r="K364" s="23"/>
      <c r="L364" s="194"/>
      <c r="M364" s="144"/>
      <c r="N364" s="23"/>
      <c r="O364" s="23"/>
      <c r="P364" s="45"/>
      <c r="Q364" s="23"/>
      <c r="R364" s="23"/>
      <c r="S364" s="23"/>
    </row>
    <row r="365" spans="5:19" ht="14.25">
      <c r="E365" s="32"/>
      <c r="F365" s="37"/>
      <c r="G365" s="198"/>
      <c r="H365" s="61"/>
      <c r="I365" s="1"/>
      <c r="K365" s="23"/>
      <c r="L365" s="23"/>
      <c r="M365" s="45"/>
      <c r="N365" s="23"/>
      <c r="O365" s="23"/>
      <c r="P365" s="45"/>
      <c r="Q365" s="23"/>
      <c r="R365" s="23"/>
      <c r="S365" s="23"/>
    </row>
    <row r="366" spans="5:19" ht="14.25">
      <c r="E366" s="32"/>
      <c r="F366" s="37"/>
      <c r="H366" s="61"/>
      <c r="K366" s="23"/>
      <c r="L366" s="23"/>
      <c r="M366" s="142"/>
      <c r="N366" s="23"/>
      <c r="O366" s="23"/>
      <c r="P366" s="45"/>
      <c r="Q366" s="23"/>
      <c r="R366" s="23"/>
      <c r="S366" s="23"/>
    </row>
    <row r="367" spans="5:19" ht="14.25">
      <c r="E367" s="32"/>
      <c r="F367" s="37"/>
      <c r="G367" s="198"/>
      <c r="H367" s="61"/>
      <c r="I367" s="1"/>
      <c r="K367" s="23"/>
      <c r="L367" s="23"/>
      <c r="M367" s="45"/>
      <c r="N367" s="23"/>
      <c r="O367" s="23"/>
      <c r="P367" s="45"/>
      <c r="Q367" s="23"/>
      <c r="R367" s="23"/>
      <c r="S367" s="23"/>
    </row>
    <row r="368" spans="6:19" ht="14.25">
      <c r="F368" s="37"/>
      <c r="G368" s="198"/>
      <c r="H368" s="61"/>
      <c r="I368" s="1"/>
      <c r="K368" s="23"/>
      <c r="L368" s="141"/>
      <c r="M368" s="45"/>
      <c r="N368" s="23"/>
      <c r="O368" s="141"/>
      <c r="P368" s="45"/>
      <c r="Q368" s="23"/>
      <c r="R368" s="23"/>
      <c r="S368" s="23"/>
    </row>
    <row r="369" spans="2:19" ht="14.25">
      <c r="B369" s="33"/>
      <c r="C369" s="12"/>
      <c r="D369" s="12"/>
      <c r="E369" s="12"/>
      <c r="F369" s="93"/>
      <c r="G369" s="198"/>
      <c r="H369" s="210"/>
      <c r="K369" s="23"/>
      <c r="L369" s="23"/>
      <c r="M369" s="45"/>
      <c r="N369" s="23"/>
      <c r="O369" s="23"/>
      <c r="P369" s="45"/>
      <c r="Q369" s="23"/>
      <c r="R369" s="23"/>
      <c r="S369" s="23"/>
    </row>
    <row r="370" spans="2:19" ht="14.25">
      <c r="B370" s="33"/>
      <c r="C370" s="12"/>
      <c r="D370" s="12"/>
      <c r="E370" s="12"/>
      <c r="F370" s="174"/>
      <c r="G370" s="198"/>
      <c r="H370" s="205"/>
      <c r="I370" s="1"/>
      <c r="K370" s="23"/>
      <c r="L370" s="23"/>
      <c r="M370" s="45"/>
      <c r="N370" s="23"/>
      <c r="O370" s="23"/>
      <c r="P370" s="45"/>
      <c r="Q370" s="23"/>
      <c r="R370" s="23"/>
      <c r="S370" s="23"/>
    </row>
    <row r="371" spans="2:19" ht="14.25">
      <c r="B371" s="33"/>
      <c r="C371" s="12"/>
      <c r="D371" s="12"/>
      <c r="E371" s="12"/>
      <c r="F371" s="93"/>
      <c r="G371" s="198"/>
      <c r="H371" s="205"/>
      <c r="I371" s="1"/>
      <c r="K371" s="23"/>
      <c r="L371" s="23"/>
      <c r="M371" s="142"/>
      <c r="N371" s="23"/>
      <c r="O371" s="23"/>
      <c r="P371" s="45"/>
      <c r="Q371" s="23"/>
      <c r="R371" s="23"/>
      <c r="S371" s="23"/>
    </row>
    <row r="372" spans="2:19" ht="14.25">
      <c r="B372" s="33"/>
      <c r="C372" s="12"/>
      <c r="D372" s="12"/>
      <c r="E372" s="12"/>
      <c r="F372" s="96"/>
      <c r="G372" s="158"/>
      <c r="H372" s="205"/>
      <c r="K372" s="185"/>
      <c r="L372" s="23"/>
      <c r="M372" s="45"/>
      <c r="N372" s="23"/>
      <c r="O372" s="23"/>
      <c r="P372" s="45"/>
      <c r="Q372" s="23"/>
      <c r="R372" s="23"/>
      <c r="S372" s="23"/>
    </row>
    <row r="373" spans="2:19" ht="14.25">
      <c r="B373" s="33"/>
      <c r="C373" s="12"/>
      <c r="D373" s="12"/>
      <c r="E373" s="12"/>
      <c r="F373" s="172"/>
      <c r="G373" s="158"/>
      <c r="H373" s="205"/>
      <c r="I373" s="1"/>
      <c r="K373" s="23"/>
      <c r="L373" s="186"/>
      <c r="M373" s="142"/>
      <c r="N373" s="5"/>
      <c r="O373" s="23"/>
      <c r="P373" s="45"/>
      <c r="Q373" s="23"/>
      <c r="R373" s="23"/>
      <c r="S373" s="23"/>
    </row>
    <row r="374" spans="2:19" ht="14.25">
      <c r="B374" s="33"/>
      <c r="C374" s="12"/>
      <c r="D374" s="12"/>
      <c r="E374" s="12"/>
      <c r="F374" s="93"/>
      <c r="G374" s="158"/>
      <c r="H374" s="205"/>
      <c r="I374" s="1"/>
      <c r="K374" s="161"/>
      <c r="L374" s="162"/>
      <c r="M374" s="45"/>
      <c r="N374" s="5"/>
      <c r="O374" s="45"/>
      <c r="P374" s="23"/>
      <c r="Q374" s="23"/>
      <c r="R374" s="45"/>
      <c r="S374" s="23"/>
    </row>
    <row r="375" spans="2:19" ht="14.25">
      <c r="B375" s="33"/>
      <c r="C375" s="12"/>
      <c r="D375" s="12"/>
      <c r="E375" s="12"/>
      <c r="F375" s="93"/>
      <c r="G375" s="158"/>
      <c r="H375" s="205"/>
      <c r="K375" s="892"/>
      <c r="L375" s="893"/>
      <c r="M375" s="184"/>
      <c r="N375" s="5"/>
      <c r="O375" s="23"/>
      <c r="P375" s="146"/>
      <c r="Q375" s="23"/>
      <c r="R375" s="23"/>
      <c r="S375" s="23"/>
    </row>
    <row r="376" spans="2:19" ht="14.25">
      <c r="B376" s="33"/>
      <c r="C376" s="12"/>
      <c r="D376" s="12"/>
      <c r="E376" s="12"/>
      <c r="F376" s="172"/>
      <c r="G376" s="158"/>
      <c r="H376" s="205"/>
      <c r="I376" s="1"/>
      <c r="K376" s="23"/>
      <c r="L376" s="23"/>
      <c r="M376" s="45"/>
      <c r="N376" s="23"/>
      <c r="O376" s="23"/>
      <c r="P376" s="142"/>
      <c r="Q376" s="23"/>
      <c r="R376" s="23"/>
      <c r="S376" s="23"/>
    </row>
    <row r="377" spans="2:19" ht="14.25">
      <c r="B377" s="33"/>
      <c r="C377" s="12"/>
      <c r="D377" s="12"/>
      <c r="E377" s="12"/>
      <c r="F377" s="93"/>
      <c r="G377" s="158"/>
      <c r="H377" s="205"/>
      <c r="I377" s="1"/>
      <c r="K377" s="23"/>
      <c r="L377" s="23"/>
      <c r="M377" s="23"/>
      <c r="N377" s="23"/>
      <c r="O377" s="23"/>
      <c r="P377" s="23"/>
      <c r="Q377" s="45"/>
      <c r="R377" s="23"/>
      <c r="S377" s="23"/>
    </row>
    <row r="378" spans="2:19" ht="14.25">
      <c r="B378" s="33"/>
      <c r="C378" s="12"/>
      <c r="D378" s="12"/>
      <c r="E378" s="12"/>
      <c r="F378" s="93"/>
      <c r="G378" s="158"/>
      <c r="H378" s="205"/>
      <c r="I378" s="1"/>
      <c r="K378" s="23"/>
      <c r="L378" s="23"/>
      <c r="M378" s="23"/>
      <c r="N378" s="23"/>
      <c r="O378" s="23"/>
      <c r="P378" s="45"/>
      <c r="Q378" s="23"/>
      <c r="R378" s="1558"/>
      <c r="S378" s="23"/>
    </row>
    <row r="379" spans="2:19" ht="14.25">
      <c r="B379" s="33"/>
      <c r="C379" s="12"/>
      <c r="D379" s="12"/>
      <c r="E379" s="12"/>
      <c r="F379" s="91"/>
      <c r="G379" s="158"/>
      <c r="H379" s="205"/>
      <c r="I379" s="1"/>
      <c r="K379" s="23"/>
      <c r="L379" s="23"/>
      <c r="M379" s="106"/>
      <c r="N379" s="23"/>
      <c r="O379" s="23"/>
      <c r="P379" s="45"/>
      <c r="Q379" s="45"/>
      <c r="R379" s="1558"/>
      <c r="S379" s="23"/>
    </row>
    <row r="380" spans="2:19" ht="14.25">
      <c r="B380" s="33"/>
      <c r="C380" s="12"/>
      <c r="D380" s="12"/>
      <c r="E380" s="12"/>
      <c r="F380" s="173"/>
      <c r="G380" s="158"/>
      <c r="H380" s="205"/>
      <c r="I380" s="1"/>
      <c r="K380" s="23"/>
      <c r="L380" s="23"/>
      <c r="M380" s="1"/>
      <c r="N380" s="23"/>
      <c r="O380" s="141"/>
      <c r="P380" s="142"/>
      <c r="Q380" s="23"/>
      <c r="R380" s="23"/>
      <c r="S380" s="23"/>
    </row>
    <row r="381" spans="2:19" ht="14.25">
      <c r="B381" s="33"/>
      <c r="C381" s="12"/>
      <c r="D381" s="12"/>
      <c r="E381" s="12"/>
      <c r="F381" s="93"/>
      <c r="G381" s="158"/>
      <c r="H381" s="205"/>
      <c r="I381" s="23"/>
      <c r="K381" s="23"/>
      <c r="L381" s="23"/>
      <c r="M381" s="7"/>
      <c r="N381" s="23"/>
      <c r="O381" s="23"/>
      <c r="P381" s="45"/>
      <c r="Q381" s="23"/>
      <c r="R381" s="23"/>
      <c r="S381" s="23"/>
    </row>
    <row r="382" spans="2:19" ht="14.25">
      <c r="B382" s="33"/>
      <c r="C382" s="12"/>
      <c r="D382" s="12"/>
      <c r="E382" s="12"/>
      <c r="F382" s="172"/>
      <c r="G382" s="158"/>
      <c r="H382" s="212"/>
      <c r="I382" s="23"/>
      <c r="K382" s="23"/>
      <c r="L382" s="23"/>
      <c r="M382" s="107"/>
      <c r="N382" s="23"/>
      <c r="O382" s="23"/>
      <c r="P382" s="142"/>
      <c r="Q382" s="23"/>
      <c r="R382" s="23"/>
      <c r="S382" s="23"/>
    </row>
    <row r="383" spans="2:19" ht="14.25">
      <c r="B383" s="33"/>
      <c r="C383" s="12"/>
      <c r="D383" s="12"/>
      <c r="E383" s="12"/>
      <c r="F383" s="93"/>
      <c r="G383" s="158"/>
      <c r="H383" s="212"/>
      <c r="I383" s="23"/>
      <c r="K383" s="23"/>
      <c r="L383" s="23"/>
      <c r="M383" s="1"/>
      <c r="N383" s="23"/>
      <c r="O383" s="23"/>
      <c r="P383" s="142"/>
      <c r="Q383" s="23"/>
      <c r="R383" s="23"/>
      <c r="S383" s="23"/>
    </row>
    <row r="384" spans="2:19" ht="14.25">
      <c r="B384" s="33"/>
      <c r="C384" s="12"/>
      <c r="D384" s="12"/>
      <c r="E384" s="12"/>
      <c r="F384" s="93"/>
      <c r="G384" s="158"/>
      <c r="H384" s="212"/>
      <c r="I384" s="23"/>
      <c r="K384" s="23"/>
      <c r="L384" s="23"/>
      <c r="M384" s="1"/>
      <c r="N384" s="23"/>
      <c r="O384" s="23"/>
      <c r="P384" s="45"/>
      <c r="Q384" s="23"/>
      <c r="R384" s="23"/>
      <c r="S384" s="23"/>
    </row>
    <row r="385" spans="2:19" ht="14.25">
      <c r="B385" s="33"/>
      <c r="C385" s="12"/>
      <c r="D385" s="12"/>
      <c r="E385" s="12"/>
      <c r="F385" s="93"/>
      <c r="G385" s="158"/>
      <c r="H385" s="205"/>
      <c r="I385" s="23"/>
      <c r="K385" s="23"/>
      <c r="L385" s="23"/>
      <c r="M385" s="1"/>
      <c r="N385" s="23"/>
      <c r="O385" s="23"/>
      <c r="P385" s="45"/>
      <c r="Q385" s="23"/>
      <c r="R385" s="23"/>
      <c r="S385" s="23"/>
    </row>
    <row r="386" spans="2:19" ht="14.25">
      <c r="B386" s="33"/>
      <c r="C386" s="12"/>
      <c r="D386" s="12"/>
      <c r="E386" s="12"/>
      <c r="F386" s="93"/>
      <c r="G386" s="158"/>
      <c r="H386" s="205"/>
      <c r="I386" s="1"/>
      <c r="K386" s="23"/>
      <c r="L386" s="23"/>
      <c r="M386" s="1"/>
      <c r="N386" s="45"/>
      <c r="O386" s="45"/>
      <c r="P386" s="45"/>
      <c r="Q386" s="23"/>
      <c r="R386" s="23"/>
      <c r="S386" s="23"/>
    </row>
    <row r="387" spans="2:19" ht="14.25">
      <c r="B387" s="33"/>
      <c r="C387" s="12"/>
      <c r="D387" s="12"/>
      <c r="E387" s="12"/>
      <c r="F387" s="111"/>
      <c r="G387" s="158"/>
      <c r="H387" s="205"/>
      <c r="K387" s="23"/>
      <c r="L387" s="23"/>
      <c r="M387" s="1"/>
      <c r="N387" s="23"/>
      <c r="O387" s="23"/>
      <c r="P387" s="45"/>
      <c r="Q387" s="23"/>
      <c r="R387" s="23"/>
      <c r="S387" s="23"/>
    </row>
    <row r="388" spans="2:19" ht="14.25">
      <c r="B388" s="33"/>
      <c r="C388" s="12"/>
      <c r="D388" s="12"/>
      <c r="E388" s="12"/>
      <c r="F388" s="93"/>
      <c r="G388" s="158"/>
      <c r="H388" s="205"/>
      <c r="K388" s="23"/>
      <c r="L388" s="23"/>
      <c r="M388" s="1"/>
      <c r="N388" s="23"/>
      <c r="O388" s="23"/>
      <c r="P388" s="23"/>
      <c r="Q388" s="23"/>
      <c r="R388" s="23"/>
      <c r="S388" s="23"/>
    </row>
    <row r="389" spans="2:19" ht="14.25">
      <c r="B389" s="33"/>
      <c r="C389" s="12"/>
      <c r="D389" s="12"/>
      <c r="E389" s="12"/>
      <c r="F389" s="111"/>
      <c r="G389" s="158"/>
      <c r="H389" s="205"/>
      <c r="K389" s="23"/>
      <c r="L389" s="23"/>
      <c r="M389" s="1"/>
      <c r="N389" s="23"/>
      <c r="O389" s="23"/>
      <c r="P389" s="23"/>
      <c r="Q389" s="23"/>
      <c r="R389" s="23"/>
      <c r="S389" s="23"/>
    </row>
    <row r="390" spans="2:19" ht="14.25">
      <c r="B390" s="33"/>
      <c r="C390" s="12"/>
      <c r="D390" s="71"/>
      <c r="E390" s="12"/>
      <c r="F390" s="93"/>
      <c r="G390" s="158"/>
      <c r="H390" s="205"/>
      <c r="I390" s="1"/>
      <c r="K390" s="23"/>
      <c r="L390" s="23"/>
      <c r="M390" s="1"/>
      <c r="N390" s="23"/>
      <c r="O390" s="23"/>
      <c r="P390" s="23"/>
      <c r="Q390" s="23"/>
      <c r="R390" s="23"/>
      <c r="S390" s="23"/>
    </row>
    <row r="391" spans="2:19" ht="14.25">
      <c r="B391" s="33"/>
      <c r="C391" s="12"/>
      <c r="D391" s="12"/>
      <c r="E391" s="12"/>
      <c r="F391" s="93"/>
      <c r="G391" s="158"/>
      <c r="H391" s="24"/>
      <c r="I391" s="1"/>
      <c r="K391" s="23"/>
      <c r="L391" s="23"/>
      <c r="M391" s="1"/>
      <c r="N391" s="23"/>
      <c r="O391" s="23"/>
      <c r="P391" s="23"/>
      <c r="Q391" s="23"/>
      <c r="R391" s="23"/>
      <c r="S391" s="23"/>
    </row>
    <row r="392" spans="2:19" ht="15" thickBot="1">
      <c r="B392" s="33"/>
      <c r="C392" s="12"/>
      <c r="D392" s="12"/>
      <c r="E392" s="12"/>
      <c r="F392" s="95"/>
      <c r="G392" s="83"/>
      <c r="H392" s="35"/>
      <c r="I392" s="14"/>
      <c r="N392" s="23"/>
      <c r="O392" s="23"/>
      <c r="P392" s="23"/>
      <c r="Q392" s="23"/>
      <c r="R392" s="23"/>
      <c r="S392" s="23"/>
    </row>
    <row r="393" spans="2:19" ht="15.75" thickBot="1">
      <c r="B393" s="33"/>
      <c r="C393" s="12"/>
      <c r="D393" s="12"/>
      <c r="E393" s="12"/>
      <c r="F393" s="112"/>
      <c r="G393" s="69"/>
      <c r="H393" s="70"/>
      <c r="I393" s="14"/>
      <c r="N393" s="23"/>
      <c r="O393" s="23"/>
      <c r="P393" s="23"/>
      <c r="Q393" s="23"/>
      <c r="R393" s="23"/>
      <c r="S393" s="23"/>
    </row>
    <row r="394" spans="6:19" ht="15">
      <c r="F394" s="30"/>
      <c r="G394" s="28"/>
      <c r="H394" s="3"/>
      <c r="I394" s="1"/>
      <c r="M394" s="3"/>
      <c r="N394" s="23"/>
      <c r="O394" s="23"/>
      <c r="P394" s="23"/>
      <c r="Q394" s="45"/>
      <c r="R394" s="23"/>
      <c r="S394" s="23"/>
    </row>
    <row r="395" spans="2:19" ht="15">
      <c r="B395" s="206"/>
      <c r="C395" s="132"/>
      <c r="D395" s="41"/>
      <c r="E395" s="80"/>
      <c r="F395" s="175"/>
      <c r="G395" s="32"/>
      <c r="H395" s="176"/>
      <c r="I395" s="32"/>
      <c r="J395" s="32"/>
      <c r="K395" s="175"/>
      <c r="L395" s="3"/>
      <c r="N395" s="45"/>
      <c r="O395" s="23"/>
      <c r="P395" s="45"/>
      <c r="Q395" s="23"/>
      <c r="R395" s="23"/>
      <c r="S395" s="23"/>
    </row>
    <row r="396" spans="2:16" ht="12.75">
      <c r="B396" s="43"/>
      <c r="C396" s="32"/>
      <c r="D396" s="32"/>
      <c r="F396" s="32"/>
      <c r="G396" s="32"/>
      <c r="H396" s="32"/>
      <c r="I396" s="32"/>
      <c r="J396" s="32"/>
      <c r="K396" s="32"/>
      <c r="N396" s="32"/>
      <c r="P396" s="45"/>
    </row>
    <row r="397" spans="2:16" ht="14.25">
      <c r="B397" s="207"/>
      <c r="C397" s="32"/>
      <c r="D397" s="43"/>
      <c r="F397" s="31"/>
      <c r="G397" s="177"/>
      <c r="H397" s="41"/>
      <c r="I397" s="6"/>
      <c r="J397" s="178"/>
      <c r="K397" s="179"/>
      <c r="N397" s="32"/>
      <c r="O397" s="65"/>
      <c r="P397" s="45"/>
    </row>
    <row r="398" spans="8:16" ht="12.75">
      <c r="H398" s="71"/>
      <c r="N398" s="32"/>
      <c r="P398" s="45"/>
    </row>
    <row r="399" spans="14:16" ht="12.75">
      <c r="N399" s="32"/>
      <c r="P399" s="45"/>
    </row>
    <row r="400" spans="2:16" ht="14.25">
      <c r="B400" s="20"/>
      <c r="C400" s="9"/>
      <c r="K400" s="20"/>
      <c r="N400" s="32"/>
      <c r="P400" s="45"/>
    </row>
    <row r="401" spans="14:16" ht="12.75">
      <c r="N401" s="32"/>
      <c r="P401" s="45"/>
    </row>
    <row r="402" spans="14:16" ht="12.75">
      <c r="N402" s="23"/>
      <c r="O402" s="4"/>
      <c r="P402" s="45"/>
    </row>
    <row r="403" spans="14:16" ht="12.75">
      <c r="N403" s="1"/>
      <c r="O403" s="23"/>
      <c r="P403" s="11"/>
    </row>
    <row r="406" ht="12.75">
      <c r="Q406" s="3"/>
    </row>
    <row r="412" ht="12.75">
      <c r="R412" t="s">
        <v>752</v>
      </c>
    </row>
    <row r="413" ht="12.75">
      <c r="R413" s="3">
        <f>P402-P386</f>
        <v>0</v>
      </c>
    </row>
  </sheetData>
  <sheetProtection/>
  <mergeCells count="29">
    <mergeCell ref="R378:R379"/>
    <mergeCell ref="G346:G359"/>
    <mergeCell ref="O345:P345"/>
    <mergeCell ref="M200:M202"/>
    <mergeCell ref="G181:G206"/>
    <mergeCell ref="R235:R236"/>
    <mergeCell ref="R237:R238"/>
    <mergeCell ref="H271:I271"/>
    <mergeCell ref="H272:J272"/>
    <mergeCell ref="H274:J274"/>
    <mergeCell ref="G93:G131"/>
    <mergeCell ref="G133:G179"/>
    <mergeCell ref="B2:L2"/>
    <mergeCell ref="B3:L3"/>
    <mergeCell ref="F6:H6"/>
    <mergeCell ref="B5:D5"/>
    <mergeCell ref="K5:L5"/>
    <mergeCell ref="F5:H5"/>
    <mergeCell ref="K6:L6"/>
    <mergeCell ref="G270:G293"/>
    <mergeCell ref="H273:J273"/>
    <mergeCell ref="H11:H15"/>
    <mergeCell ref="G7:G17"/>
    <mergeCell ref="G21:G32"/>
    <mergeCell ref="G34:G54"/>
    <mergeCell ref="G57:G91"/>
    <mergeCell ref="H30:H32"/>
    <mergeCell ref="H89:H91"/>
    <mergeCell ref="G223:G268"/>
  </mergeCells>
  <printOptions horizontalCentered="1"/>
  <pageMargins left="0.1968503937007874" right="0" top="0" bottom="0" header="0" footer="0"/>
  <pageSetup horizontalDpi="600" verticalDpi="600" orientation="landscape" paperSize="9" scale="79" r:id="rId1"/>
  <headerFooter alignWithMargins="0">
    <oddFooter>&amp;R&amp;P</oddFooter>
  </headerFooter>
  <rowBreaks count="2" manualBreakCount="2">
    <brk id="44" max="255" man="1"/>
    <brk id="13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777</cp:lastModifiedBy>
  <cp:lastPrinted>2017-01-31T14:37:33Z</cp:lastPrinted>
  <dcterms:created xsi:type="dcterms:W3CDTF">2004-09-09T11:19:15Z</dcterms:created>
  <dcterms:modified xsi:type="dcterms:W3CDTF">2017-03-07T07:32:18Z</dcterms:modified>
  <cp:category/>
  <cp:version/>
  <cp:contentType/>
  <cp:contentStatus/>
</cp:coreProperties>
</file>