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1400" windowHeight="5595" tabRatio="0" activeTab="0"/>
  </bookViews>
  <sheets>
    <sheet name="TDSheet" sheetId="1" r:id="rId1"/>
  </sheets>
  <definedNames>
    <definedName name="_xlnm.Print_Titles" localSheetId="0">'TDSheet'!$4:$4</definedName>
  </definedNames>
  <calcPr fullCalcOnLoad="1"/>
</workbook>
</file>

<file path=xl/sharedStrings.xml><?xml version="1.0" encoding="utf-8"?>
<sst xmlns="http://schemas.openxmlformats.org/spreadsheetml/2006/main" count="353" uniqueCount="248">
  <si>
    <t>(грн.)</t>
  </si>
  <si>
    <t>Показники</t>
  </si>
  <si>
    <t>План на рік</t>
  </si>
  <si>
    <t>План на звітний період</t>
  </si>
  <si>
    <t>План на поточний місяць</t>
  </si>
  <si>
    <t>Скоригований план на рік</t>
  </si>
  <si>
    <t>Скоригований план за звіт. період</t>
  </si>
  <si>
    <t>Скоригований план на пот.місяць</t>
  </si>
  <si>
    <t>Профінансовано за звіт. період</t>
  </si>
  <si>
    <t>Профінансовано за місяць</t>
  </si>
  <si>
    <t>Залишки асигнувань за пот. місяць</t>
  </si>
  <si>
    <t>Залишки асигнувань до кінця року</t>
  </si>
  <si>
    <t>40      Департамент житлово-комунального господарства Миколаївської міської ради</t>
  </si>
  <si>
    <t>2111 Заробітна плата</t>
  </si>
  <si>
    <t>Органи місцевого самоврядування</t>
  </si>
  <si>
    <t>2120 Нарахування на оплату праці</t>
  </si>
  <si>
    <t>2210 Предмети, матеріали, обладнання та інвентар</t>
  </si>
  <si>
    <t>2240 Оплата послуг (крім комунальних)</t>
  </si>
  <si>
    <t>2250 Видатки на відрядження</t>
  </si>
  <si>
    <t>2272 Оплата водопостачання та водовідведення</t>
  </si>
  <si>
    <t>2273 Оплата електроенергії</t>
  </si>
  <si>
    <t>2274 Оплата природного газу</t>
  </si>
  <si>
    <t>2800 Інші поточні видатки</t>
  </si>
  <si>
    <t>3110 Придбання обладнання і предметів довгострокового користування</t>
  </si>
  <si>
    <t>3132 Капітальний ремонт інших об'єктів</t>
  </si>
  <si>
    <t>Поточний ремонт житлового фонду</t>
  </si>
  <si>
    <t xml:space="preserve"> Обстеження житлового фонду спеціалізованими проектними організаціями та виготовлення технічних паспортів</t>
  </si>
  <si>
    <t>Проведення робіт по відновленню асфальтового покриття прибудинкових територій та внутрішньоквартальних проїздів</t>
  </si>
  <si>
    <t>Дератизація житлового фонду</t>
  </si>
  <si>
    <t>Дезинсекція житлового фонду</t>
  </si>
  <si>
    <t>Депутатські кошти</t>
  </si>
  <si>
    <t xml:space="preserve">    Експертне обстеження ліфтів у житл. будинках</t>
  </si>
  <si>
    <t>2610 Субсидії та поточні трансферти підприємствам (установам, організаціям)</t>
  </si>
  <si>
    <t>Трансферти житловим підприємствам для утримання та експлуатації житлового фонду</t>
  </si>
  <si>
    <t>Придбання матеріалів, обладнання, інвентарю, спецавтотехніки для благоустрою міста</t>
  </si>
  <si>
    <t>3131 Капітальний ремонт житлового фонду (приміщень)</t>
  </si>
  <si>
    <t>Інші видатки по капітальному ремонту  житлового фонду місцевих органів влади</t>
  </si>
  <si>
    <t>Капітальний ремонт, післяекспертний капітальний ремонт та модернізація ліфтів</t>
  </si>
  <si>
    <t>Капітальний ремонт покрівель житлового фонду</t>
  </si>
  <si>
    <t>Капітальний ремонт внутрішньбудинкових мереж житлового фонду</t>
  </si>
  <si>
    <t>Загальнобудівельні роботи по капітальному ремонту житлового фонду</t>
  </si>
  <si>
    <t xml:space="preserve"> Капітальний ремонт житлового фонду за рахунок субвенції з державного бюджету місцевим бюджетам на здійснення заходів щодо соціально- економічного розвитку окремих територій</t>
  </si>
  <si>
    <t>Видатки на утримання об'єктів соціальної сфери підприємств, що передаються до комунальної власності</t>
  </si>
  <si>
    <t>2282 Окремі заходи по реалізації державних (регіональних) програм, не віднесені до заходів розвитку</t>
  </si>
  <si>
    <t>Здійснити капітальний ремонт внутрішньбудинкових мереж житлового фонду</t>
  </si>
  <si>
    <t>Здійснити загальнобудівельні роботи по капітальному ремонту житлового фонду</t>
  </si>
  <si>
    <t>Здійснити капітальний ремонт покрівель житлового фонду</t>
  </si>
  <si>
    <t>Зимове утримання доріг</t>
  </si>
  <si>
    <t>Придбання матеріалів, обладнання, інвентарю, спецтехніки для благоустрою міста</t>
  </si>
  <si>
    <t>Забезпечити виконання робіт по утриманню та ремонту штучних споруд</t>
  </si>
  <si>
    <t>Проведення ремонту обєктів вулично-дорожньої інфраструктури</t>
  </si>
  <si>
    <t>Утримання звалища листя</t>
  </si>
  <si>
    <t>Забезпечення ремонту дощової каналізації, дощеприймачів</t>
  </si>
  <si>
    <t>Утримання ТЗРДР</t>
  </si>
  <si>
    <t>Поточний ремонт та утримання у належному стані міських кладовищ</t>
  </si>
  <si>
    <t>Утримання та поточний ремонт МАФ</t>
  </si>
  <si>
    <t>Збереження та утримання на належному рівні зеленої зони населеного пункту та поліпшення його екологічних умов</t>
  </si>
  <si>
    <t>Забезпечення утримання у належному стані пляжів</t>
  </si>
  <si>
    <t>Оплата електроенергії, що використовується світлофорними об"єктами</t>
  </si>
  <si>
    <t>Утримання вічного вогню</t>
  </si>
  <si>
    <t xml:space="preserve"> Придбання обладнання. матеріалів. техніки за рахунок субвенції з державного бюджету місцевим бюджетам на здійснення заходів щодо соціально- економічного розвитку окремих територій</t>
  </si>
  <si>
    <t>Капітальний ремонт системи відеоспостереження (безпечне місто)</t>
  </si>
  <si>
    <t>Здійснення заходів із впровадження засобів обліку витрат та регулювання споживання води та теплової енергії.</t>
  </si>
  <si>
    <t>Поточне обслуговування  мереж вуличного освітлення та поточний ремонт</t>
  </si>
  <si>
    <t>Технічне обслуговування апаратури диспетчерського зв'язку системи вуличного освітлення та ліквідації аварійних ситуацій мереж зовнішнього освітлення</t>
  </si>
  <si>
    <t>Оплата спожитої електроенергії</t>
  </si>
  <si>
    <t>Проведення робіт по забезпеченню транспортування та розподілу електроенергії в мережах вуличного освітлення</t>
  </si>
  <si>
    <t>Забезпечення сприятливих умов для співіснування людей та тварин</t>
  </si>
  <si>
    <t>Забезпечення функціонування мереж зовнішньогоосвітлення</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</si>
  <si>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</si>
  <si>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3122 Капітальне будівництво (придбання) інших об'єктів</t>
  </si>
  <si>
    <t>Будівництво огорожі міського полігону твердих побутових відходів в селищі В.Корениха, у тому числі коригування проектно-кошторисної документації та екпертиза</t>
  </si>
  <si>
    <t>Будівництво протипожежних водойм на території полігона ТПВ по вул. Новій,16  в с. Весняне Миколаївського району, в тому числі проектні роботи та експертиза</t>
  </si>
  <si>
    <t>Будівництво каналізації по вул. 3 Воєнній в Центральному районі м.Миколаєва (ІІ черга),  у тому числі проектні роботи та експертиза</t>
  </si>
  <si>
    <t>Ліквідація наслідків підтоплення селища Горького - будівництво дренажного колектору для захисту від підтоплення селища Горького у м. Миколаєві, у тому числі коригування проекту та експертиза</t>
  </si>
  <si>
    <t>Нове будівництво дороги від вул. Індустріальної до вул. Озерної  в м. Миколаєві, у тому числі проектні роботи та експертиза</t>
  </si>
  <si>
    <t>Будівництво нового кладовища в м. Миколаєві, у тому числі проектні роботи та експертиза</t>
  </si>
  <si>
    <t>Будівництво КНС по вул. Лазурній для відведення зливових вод на території мкр. Намив, у тому числі проектні роботи та експертиза</t>
  </si>
  <si>
    <t>Нове будівництво тролейбусної лінії по вул.Лазурній та вул.Озерній у м.Миколаєві, у т.ч. проектні роботи та експертиза</t>
  </si>
  <si>
    <t>Нове будівництво каналізаційної мережі по пров. 5-му Парниковому та Новому інвалідному хутору в м.Миколаєві, у тому числі коригування проектно-кошторисної документації та експертиза</t>
  </si>
  <si>
    <t>Нове будівництво об’їзної дороги від вул. Доктора Самойловича до вул. Олега Ольжича в Корабельному районі м. Миколаєва, у тому числі проектні роботи та експертиза</t>
  </si>
  <si>
    <t xml:space="preserve">Ліквідація  підтоплення Широкої Балки, будівництво дренажного колектору, у тому числі корегування та експертиза проектно-кошторисної документації  </t>
  </si>
  <si>
    <t>Нове будівництво вулично-дорожньої мережі  по вул. А.Шептицького, від проспекту Героїв України до вул. Архітектора Старова в м. Миколаєві,у т.ч. проектні роботи та експертиза</t>
  </si>
  <si>
    <t xml:space="preserve">Нове будівництво дюкеру через річку Південний Буг та магістральних мереж водопостачання мікрорайону Варварівка у м.Миколаєві, у т.ч. проектні роботи та експертиза </t>
  </si>
  <si>
    <t>Нове будівництво свердловини для водопостачання населення Великої Коренихи по вул. Володимирівська в Заводському районі м.Миколаєва, у т. ч. виготовлення проектно-кошторисної документації та проведення її експертизи</t>
  </si>
  <si>
    <t>Нове будівництво свердловини для водопостачання населення Великої Коренихи по вул. Святославівська в Заводському районі м.Миколаєва, у т. ч. виготовлення проектно-кошторисної документації та проведення її експертизи</t>
  </si>
  <si>
    <t xml:space="preserve">Нове будівництво транспортно-логістичного центру для вантажних автомобілів по Баштанському шосе(11 Промзона) в м. Миколаєві,в т.ч. виготовлення проекту землеустрою , проектно-кошторисної документації,проведення екпертизи </t>
  </si>
  <si>
    <t>Нове будівництво свердловини для водопостачання населення Великої Коренихи по вул. Очаківській в Заводському районі м.Миколаєва, у т. ч. виготовлення проектно-кошторисної документації та проведення її експертизи</t>
  </si>
  <si>
    <t>Нове будівництво каналізації по вул. 3 Воєнній (Сиваської дивізії) в Центральному районі м. Миколаєва, у т.ч. коригування проекту та експертиза</t>
  </si>
  <si>
    <t>Нове будівництво мереж зовнішнього освітлення між вул. Маячною-вул. 295 Стрілецької Дивізії та вул. Менделєєва-вул. Гагаріна в м.Миколаєві, у т.ч. проектні роботи та експертиза</t>
  </si>
  <si>
    <t>Нове будівництво світлофорного об'єкту в м. Миколаєві по вул. Херсонське шосе  ріг вул. Новозаводської, у т.ч. проектні роботи та експертиза</t>
  </si>
  <si>
    <t>Нове будівництво світлофорного об'єкту в м. Миколаєві по пр. Миру  ріг вул. Новозаводської, у т.ч. проектні роботи та експертиза</t>
  </si>
  <si>
    <t>Будівництво світлофорного об'єкту в м.Миколаєві по вул.В.Морській ріг вул.Садової, у т.ч. проектні роботи та експертиза</t>
  </si>
  <si>
    <t xml:space="preserve">Будівництво водопроводу у мкр. Тернівка м.Миколаєва, у тому числі коригування проектно-кошторисної документації та експертиза </t>
  </si>
  <si>
    <t>Будівництво світлофорного об'єкту в м.Миколаєві по вул.Троїцькій  ріг вул.Новозаводської , у т.ч. проектні роботи та експертиза</t>
  </si>
  <si>
    <t>Будівництво світлофорного об'єкту в м.Миколаєві по вул.Космонавтів ріг вул.Турбінної , у т.ч. проектні роботи та експертиза</t>
  </si>
  <si>
    <t>Нове будівництво тролейбусної лінії по пр.Богоявленському, від міського автовокзалу до вул.Гагаріна в м.Миколаєві, у т.ч. проектно-вишукувальні роботи та експертиза</t>
  </si>
  <si>
    <t>Ліквідація наслідків підтоплення мкр. Жовтневий, парку "Богоявленський" - будівництво дренажного колектору для захисту від підтоплення мікрорайону Жовтневий в м. Миколаєві, у тому числі коригування проекту та експертиза(субвенція соц.економ)</t>
  </si>
  <si>
    <t>3141 Реконструкція житлового фонду (приміщень)</t>
  </si>
  <si>
    <t>Реконструкція житлового будинку по вул. Айвазовського,3 у м.Миколаєві, у тому числі коригування проектно-кошторисної документації та експертиза</t>
  </si>
  <si>
    <t>Реконструкція диспетчерського обладнання ліфтів багатоповерхових житлових будинків у місті Миколаєві, Заводський район, у тому числі проектні роботи та експертиза</t>
  </si>
  <si>
    <t xml:space="preserve">Реконструкція гуртожитку по вул. Нагірній, 73-а в м. Миколаєві, у тому числі проектні роботи та експертиза </t>
  </si>
  <si>
    <t>Реконструкція диспетчерського обладнання ліфтів багатоповерхових житлових будинків у місті Миколаєві, Центральний район, у тому числі проектні роботи та експертиза</t>
  </si>
  <si>
    <t>3142 Реконструкція та реставрація інших об'єктів</t>
  </si>
  <si>
    <t>Реконструкція дороги  по вул. Національної гвардії, від вул. Доктора Самойловича до вул. Олега Ольжича в Корабельному районі м.Миколаєва, у тому числі проектні роботи та експертиза</t>
  </si>
  <si>
    <t>Реконструкція транспортної розв'язки на Широкобальському шляхопроводі, в тому числі проектні роботи та еспертиза</t>
  </si>
  <si>
    <t>Реконструкція скверу  "Манганарівський" («Пролетарський»),  обмеженого вулицями Адміральською- 1 Слобідською - Нікольською -Інженерною в Центральному районі м.Миколаєва,  у тому числі корегування проекту та експертиза</t>
  </si>
  <si>
    <t>Реконструкція скверу "Трояндовий"(«Радянський»), який розташований по вулиці Соборній (Радянській) ріг проспекту Центрального (Леніна) в Центральному районі міста Миколаєва, у тому числі проектні роботи та експертиза</t>
  </si>
  <si>
    <t>Реконструкція території рекреаційного призначення, скверу «Бойової слави», розташованого по вул. Озерній (Червоних Майовщиків), у районі житлових будинків №№ 25-29, 35 в Заводському районі міста Миколаєва, у тому числі проектні роботи та експертиза</t>
  </si>
  <si>
    <t>Реконструкція вуличного освітлення з використанням енергозберігаючих технологій, у тому числі виготовлення та експертиза проектно-кошторисної документації</t>
  </si>
  <si>
    <t>Реконструкція скверу «Миколаївський»  – території рекреаційного призначення, розташованої по вул.  Космонавтів, біля ЗОШ № 20, будинків №№ 68-а, 70 по вул. Миколаївській у Інгульському (Ленінському) районі м. Миколаєва, у тому числі проектні роботи та експертиза</t>
  </si>
  <si>
    <t>Реконструкція площі Соборної по вул. Адміральській між будинками №№ 20 – 22 в Центральному районі м. Миколаєва, у тому числі проектні роботи та експертиза</t>
  </si>
  <si>
    <t>Реконструкція зеленої зони  по вул. Знаменській, 8а в Корабельному районі м. Миколаєва, в тому числі проектні роботи та експертиза</t>
  </si>
  <si>
    <t>Реконструкція парку-пам’ятки садово-паркового мистецтва "Перемога" по пр. Героїв України,2 у м. Миколаєві, в тому числі проектні роботи та експертиза</t>
  </si>
  <si>
    <t>Забезпечення ремонтів міських доріг</t>
  </si>
  <si>
    <t>Придбання та встановлення індивідуальних лічильників газу для населення (побутових споживачів) по пр. Центральному, буд. № № 158, 162, вул. Колодязна, буд. № № 3а, 56, 15а, 16, 17а, 20, 35а, 37, 39, вул. Потьомкінська, буд. № № 149, 153, 155 м. Миколаєва(Субвенція соц.економ)</t>
  </si>
  <si>
    <t>Придбання та встановлення індивідуальних лічильників газу для населення (побутових споживачів) Інгульського та Корабельного районів м. Миколаєва(Субвенція соц.економ)</t>
  </si>
  <si>
    <t>Забезпечення організації навчання керівників ОСББ, СОН, управляючих будинків</t>
  </si>
  <si>
    <t>Організація та проведення конкурсів ОСН, ОСББ</t>
  </si>
  <si>
    <t>Капітальні роботи по заміні окремих приладів обліку природного газу (співфінансування 3 %)</t>
  </si>
  <si>
    <t>3210 Капітальні трансферти підприємствам (установам, організаціям)</t>
  </si>
  <si>
    <t>Внески органів місцевого самоврядування у статутні капітали  КП " СКП "Гуртожиток""</t>
  </si>
  <si>
    <t>Внески органів місцевого самоврядування у статутні капітали  КП "Дорога"</t>
  </si>
  <si>
    <t>Внески органів місцевого самоврядування у статутні капітали  ЖКП ММР "Південь"</t>
  </si>
  <si>
    <t>Проведення просвітницької роботи з населенням, семінарів про соціальну грамотність, соціальне проектування і основи управління здоров'ям- виготовлення плакатів, білбордів, інформаційних матеріалів з питань екології та благоустрою міста, підготовка та виготовленнядля участи м. Миколаэва у всеураїнському конкурсі з благоустрою міста</t>
  </si>
  <si>
    <t>Розробка схеми санітарного очищення та визначення норм утворення твердих побутових відходів для міста Миколаєва</t>
  </si>
  <si>
    <t>Проектні розробки у сфері охорони навколищного природного середовища</t>
  </si>
  <si>
    <t>Розробка техніко-економічного обгрунтування щодо розчищення русла та благоустрою р.Вітовка в Корабельному районі м. Миколаєва</t>
  </si>
  <si>
    <t>Отримання дозволу на здійснення операцій у сфері поводження з відходами для майданчика для складування опалого листя</t>
  </si>
  <si>
    <t>Проведення інвентаризації парків і лісопаркових зон (інвентаризація зелених насаджень)</t>
  </si>
  <si>
    <t>Проведення інвентаризації парків і лісопаркових зон (розробка та погодження проектів землеустрою з організації та встановлення меж парків, скверів та інших об'єктів)</t>
  </si>
  <si>
    <t>Виховання екологічної культури як частини загальної культури населення шляхом проведення добровільних громадських акцій, загального екологічного виховання</t>
  </si>
  <si>
    <t>Введення в постійну практику добровільних громадських акцій по висадженню дерев, очищенню від сміття парків, берегів рік тощо з проведенням пропаганди таких заходів у ЗМІ та навчальних закладах -проведення громадських акцій "Чисте узбережжя" до Міжнар</t>
  </si>
  <si>
    <t>Оновлення зелених насаджень міських парків, скверів (придбання саджанців)</t>
  </si>
  <si>
    <t>Ліквідація наслідків підтоплення в житловому масиві Кульбакине - будівництво дренажної мережі (проектні роботи та експертиза)</t>
  </si>
  <si>
    <t>Ліквідація зсувних процесів у мкр. Велика Корениха - будівництво протизсувних споруд по вул. Піщаній у мкр. Велика Корениха, проведення геологічних вишукувань</t>
  </si>
  <si>
    <t>Ліквідація наслідків підтоплення мікрорайону Жовтневий, парку «Богоявленський» – будівництво дренажного колектора для захисту від підтоплення мікрорайону Жовтневий, парку «Богоявленський» у м.Миколаєві, у тому числі коригування проекту та експертиза</t>
  </si>
  <si>
    <t>Ліквідація наслідків підтоплення житлового масиву Тернівка-будівництво дренажного колектору для захисту від підтоплення житлового масиву Тернівка у м. Миколаєві,у т.ч. проектні роботи та експертиза</t>
  </si>
  <si>
    <t>2620 Поточні трансферти органам державного управління інших рівнів</t>
  </si>
  <si>
    <t>Субвенція з міського бюджета міста Миколаєва обласному бюджету Миколаївської області для надання фінансової підтримки обласному комунальному підприємству "Миколаївтеплоенерго", в тому числі на погашення заборгованості по заробітній платі, обовязкових платежах до бюджетів та на виконання ремонтних робіт з підготовки до опалювального сезону 2017-2018 років</t>
  </si>
  <si>
    <t>Плата за видачу сертифіката, який видається у разі прийняття в евксплуатацію закінченого будівництвом об'єкта</t>
  </si>
  <si>
    <t>Пояснення</t>
  </si>
  <si>
    <t xml:space="preserve">Вик. </t>
  </si>
  <si>
    <t>Улаштування мережі зовнішнього освітлення на ділянці об’їзної дороги від вул. Янтарної до вугільного складу по вул. О. Вишні в м. Миколаєві (Субвенція соц економ)</t>
  </si>
  <si>
    <t>Касові видатки (звіт бухгалтерії)</t>
  </si>
  <si>
    <t>Невикористаний залишок</t>
  </si>
  <si>
    <t>Виконання, %</t>
  </si>
  <si>
    <t>4010180  . Керівництво і управління у відповідній сфері у містах, селищах, селах</t>
  </si>
  <si>
    <t>4016010  . Забезпечення надійного та безперебійного функціонування житлово-експлуатаційного господарства</t>
  </si>
  <si>
    <t>4016021  . Капітальний ремонт житлового фонду</t>
  </si>
  <si>
    <t>4016040  . Утримання об'єктів соціальної сфери підприємств, що передаються до комунальної власності</t>
  </si>
  <si>
    <t>4016022  . Капітальний ремонт житлового фонду об'єднань співвласників багатоквартирних будинків</t>
  </si>
  <si>
    <t>4016060  . Благоустрій міст, сіл, селищ</t>
  </si>
  <si>
    <t>4016100  . Впровадження засобів обліку витрат та регулювання споживання води та теплової енергії</t>
  </si>
  <si>
    <t>4016130  .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</si>
  <si>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4016150  .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</si>
  <si>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4016310  . Реалізація заходів щодо інвестиційного розвитку території</t>
  </si>
  <si>
    <t>4016650  . Утримання та розвиток інфраструктури доріг</t>
  </si>
  <si>
    <t>4017410  . Заходи з енергозбереження</t>
  </si>
  <si>
    <t>4017420  . Програма стабілізації та соціально-економічного розвитку територій</t>
  </si>
  <si>
    <t>4017470  . Внески до статутного капіталу суб’єктів господарювання</t>
  </si>
  <si>
    <t>4019110  . Охорона та раціональне використання природних ресурсів</t>
  </si>
  <si>
    <t>4018800  . Інші субвенції</t>
  </si>
  <si>
    <t>4018600  . Інші видатки</t>
  </si>
  <si>
    <t>Кошти були використані не в повному обсязі через те, що сума укладеного договору відповідно до пропозиції контрагента була меншою від запланованої</t>
  </si>
  <si>
    <t>Кошти не були використані у зв’язку з обмеженим часом на  проведення значного обсягу необхідних вимірювань та обробки інформації</t>
  </si>
  <si>
    <t>Кошти не були використані у повному обсязі через те, що сума укладеного договору, відповідно до пропозиції контрагента, була меншою від запланованої</t>
  </si>
  <si>
    <t xml:space="preserve">Кошти були використані не в повному обсязі через те, що сума укладеного договору відповідно до пропозиції контрагента була меншою від запланованої, інвентаризація проведена у повному обсязі. </t>
  </si>
  <si>
    <t xml:space="preserve">Кошти були використані не в повному обсязі через зменшення запланованих об'ємів послуг ( 5 проектів землеустрою не розроблені у 2017 році, 10 проектів не були направлені для проходження експертизи та 3 проекти не отримали висновок експертизи). </t>
  </si>
  <si>
    <t xml:space="preserve">Кошти були використані не в повному обсязі у зв'язку із зменшенням об'єму запланованих послуг (не відбулася виставка голубів та декілька випусків голубів;   заплановані заходи, через брак часу виконані не повністю). </t>
  </si>
  <si>
    <t xml:space="preserve">Кошти не були використані через те, що під час переговорів щодо розробки ПКД встановлено неможливість виконання будівельних робіт, у зв'язку із особливостями рельєфу місцевості </t>
  </si>
  <si>
    <t>Кошти не були використані у повному обсязі, так як проект перераховувався у ціни 2017 року та до кінця року не отримав висновку Держбудекспертизи</t>
  </si>
  <si>
    <t>Кошти не були використані у повному обсязі, так як будівництво не проводилось, по об'єкту було здійснено перерахунок кошторисів та отримано новий висновок Держбудекспертизи</t>
  </si>
  <si>
    <t>,</t>
  </si>
  <si>
    <t>Корегування проекту триває.Для закінчення робіт по корегуванню проекту була замовлена виконавча зйомка ділянок, які були виконані раніше. Зоймка ще не виконана в повному обсязі з причин відсутністю підряної організації Тов "Укрспецоборудование"</t>
  </si>
  <si>
    <t>Проектно-кошторисна документаці була перерахована та відправлена на експертизу. Експертиза продовжується за всіма напрямками, обєкт класу наслідків СС3 (багато зауважень)</t>
  </si>
  <si>
    <t>Виконана проектно-кошторисна документація в повному обсязі та отриман позитивний висновок експертизи в грудні місяці</t>
  </si>
  <si>
    <t xml:space="preserve">Світлофор був встановлеий в грудні місяці. Залишились роботи по благоустрію та виконання розмітки </t>
  </si>
  <si>
    <t>Проектно-кошторисна документаці була перерахована та відправлена на експертизу в грудні місяці. Договір перенесен на 2018 рік.</t>
  </si>
  <si>
    <t>не надано рішення суду щодо стягнення пені та інфляції, що виникли при розрахунках за електропостачання</t>
  </si>
  <si>
    <t xml:space="preserve">економія коштів у зв'язку із економією природного газу (дострокове припинення опалення навесні, пізній початок опалювального періоду восени, теплий грудень) </t>
  </si>
  <si>
    <t>несвоєчасне надання рахунку за спожиті у грудні місяці послуги з електоростачання (рахунок надано у січні 2018 року)</t>
  </si>
  <si>
    <t>економія коштів</t>
  </si>
  <si>
    <t>економія, що виникла у результаті перенесення дати засідання суду у м. Одеса</t>
  </si>
  <si>
    <t>несвоєчасним наданням листків непрацездатності ( листки по лікарнятому та по вагітності і пологам було надано після заверження бюджетного періоду)</t>
  </si>
  <si>
    <t xml:space="preserve"> По деяким об’єктам були вилученні документи правоохоронними органами Миколаївської області, без яких неможливо отримати сертифікат від  УДБАК.
 На багатьох об’єктах  не належно підготовленні документи ( відсутній журнал виконання робіт, журнал авторського нагляду, відсутність підпису відповідальної особи за якою закріплений об’єкт).
 В зв’язку з тим що будівельні роботи по об’єкту були закінченні ще в 2016 році (конструкції, асфальтне покриття), були частково виведенні з ладу (пограбовані, зруйновані комунальними службами міста дорожні покриття і т.д. і т.п.), що не дає можливості отримати сертифікат .
</t>
  </si>
  <si>
    <t>Відсутній повний обсяг вихідних даних для закінчення проектно-вишукувальних робіт</t>
  </si>
  <si>
    <t>Економія загального ліміту будівництва</t>
  </si>
  <si>
    <t>У звязку з затриманням надання коштів в повному обсязі для завершення виконання проектно-вишукувальних робіт визначених договором строків</t>
  </si>
  <si>
    <t>Виконана проектно-кошторисна документація в повному обсязі та отриман позитивний висновок експертизи. Економія коштів за рахунок фактичного зниження вартості проведення експертизи проекту</t>
  </si>
  <si>
    <t>Відсутність установчого документу щодо відведення земельної ділянки</t>
  </si>
  <si>
    <t>Проектування припинено в зв'язку з відсутністю вільної земельної ділянки для влаштування свердловини</t>
  </si>
  <si>
    <t>Виконана проектно-кошторисна документація в повному обсязі та отриман позитивний висновок експертизи в грудні місяці. Економія коштів за рахунок фактичного зниження вартості проведення експертизи</t>
  </si>
  <si>
    <t>Кошти не були використані у повному обсязі, через необхідність внесення змін до бюджету міста та Програми економічного і соціального розвитку м. Миколаєва на 2017 рік, у зв'язку із збільшенням загальної кошторисної вартості об'єкту</t>
  </si>
  <si>
    <t>Кошти не були використані в повному обсязі, так як проект не отримав висновок Укрдержбудекспертизи у 2017 році</t>
  </si>
  <si>
    <t xml:space="preserve">Кошти не були використані в повному обсязі, так як були відсутні всі необхідні  вихідні дані для проведення коригування проекту </t>
  </si>
  <si>
    <t>Кошти не були використані у повному обсязі, через необхідність виконання робіт, на які не було проведено тендерну закупівлю/ Залишки  робіт на 2018 рік</t>
  </si>
  <si>
    <t xml:space="preserve">Договір з переможцем відкритих тендерних торгів ТзОВ СВІТЛО-ДИЗАЙН на капітальний ремонт мережі зовнішнього освітлення Флотського бульвару, у 2017 році не виконано у повному обсязі через настання форс-мажорних обставин. </t>
  </si>
  <si>
    <t xml:space="preserve"> Кошти не були використані у повному обсязі, через те, що капітальний ремонт скверу "Солдата" не завершено у 2017 році, а по об'єкту  "Капітальний ремонт тротуарного покриття, підпірної стіни та сходів у Флотському бульварі" виконано лише геологічні та геодезичні вишукування</t>
  </si>
  <si>
    <t>Договір підряду на виконання ПКД було укладено 10.08.17, проте сьогодні проектною організацією ТОВ "Светолюкс електромонтаж" не отримано позитивний висновок ДП "Укрдержбудекспертиза"</t>
  </si>
  <si>
    <t>Через відсутність узгодженого рішення, щодо прийняття встановлення алгоритму розподілу коштів, що надходять від підприємств водопровідно-каналізаційного господарства на поточні рахунки енергопостачальних компаній в процесі реалізації бюджетної програми на відшкодування заборгованості з різниці в тарифах, у звязку з незмінністю позиції Національної комісії, що здійснює державне регулювання у сферах енергетики та комунальних послуг, щодо відсутності з різниці в тарифах.</t>
  </si>
  <si>
    <t xml:space="preserve">Заплановані роботи виконано на 100%. Економія коштів (згідно укладених договорів та кошторису). </t>
  </si>
  <si>
    <t>За результатами проведення процедури закупівлі виникла економія коштів  на виконання робіт. Крім того, роботи виконано по фактичній площі, що в окремих випадках не співпадала (менша) ніж була подана головами ОСББ на початку року. Деякі ОСББ відмовляли в наданні послуг підрядній організації.</t>
  </si>
  <si>
    <t xml:space="preserve">економія коштів </t>
  </si>
  <si>
    <t>Заплановані роботи виконано на 100%. Економія коштів (згідно укладеного договору)</t>
  </si>
  <si>
    <t xml:space="preserve">Роботи із заміни насосного обладнання у житловому будинку по вул. Південна, 39 не було виконано у зв'язку з подорожчанням окремого виду насосного обладання, необхідного для виконання робіт на даному об'єкті </t>
  </si>
  <si>
    <t>Кошти не було використоано у повному обсязі у зв'язку із затримкою постачання специфічного обладанання до опалювального періоду.</t>
  </si>
  <si>
    <t>Заплановані роботи виконано на 100%. Економія коштів згідно укладеного договору за результатами проведеної процедури закупівлі за державні кошти.</t>
  </si>
  <si>
    <t xml:space="preserve">Заплановані роботи виконано на 100%. Економія коштів (згідно укладеного договору та кошторису). </t>
  </si>
  <si>
    <t xml:space="preserve">Кошти не було використано у повному обсязі, у звязу з тим, що згідно листа народного депутата України було внесено зміни стосовно необхідності зміни  найменування товарів) </t>
  </si>
  <si>
    <t>За рахунок єкономії не було використано в повному обсязі</t>
  </si>
  <si>
    <t>За рахунок непередбачених додаткових робіт</t>
  </si>
  <si>
    <t>Виконання ліквідації аварійної ситуації</t>
  </si>
  <si>
    <t>Кошти були використані не в повному обсязі через те, що суми укладених договорів  були меншими від запланованих.Захід було профінансвовано у повному обсязі</t>
  </si>
  <si>
    <t>Економія коштів за результатами проведення процедури закупівлі за державні кошти, а також  згідно укладеного договору з ТзОВ "Енергоресурсмонтаж" (м. Львів) кошти невикоритані у повному обсязі з причини затримки поставки специфічного  дороговартістного обладнання виробниками. Роботи будуть завершено у 2018 році.</t>
  </si>
  <si>
    <t>Згідно укладених договорів з ТОВ "Праймері-БУД" (м. Херсон), ТОВ "Трендком" та ТОВ "Електрим-2000" кошти невикоритані у повному обсязі з причини затримки поставки специфічного  дороговартістного обладнання виробниками. Роботи будуть завершено у 2018 році.</t>
  </si>
  <si>
    <t>З ТОВ "Авалон-Строй" (м. Одеса) було укладено договір на виконання капітального ремонту житлового будинку по вул. Потьомкінській, 28, але роботи не виконано, договір розірвано. Департаментом ЖКГ ММР  готується претензія на підрядне підприємство щодо порушення умов договору з нарахуванням пені.Роботи будуть виконано  у 2018 році іншим підприємством.</t>
  </si>
  <si>
    <t>Кошти субвенцій з державного бюджету місцевим бюджетам на здійснення заходів щодо соціально- економічного розвитку окремих територій в частині виконання робіт з капітального ремонту житлових будинків по заміні вікон сходових клітин не використано у повному обсязі з причини виділення частини коштів наприкінці бюджетного року, що унеможливило виготовлення проектно-кошторисної документації та відповідного виконання робіт. Роботи будуть завершено у 2018 році.</t>
  </si>
  <si>
    <t>Згідно укладеного договору з ТОВ "Центрліфт" на виконання ремонту ліфтового обладнання по вул. 3 Слобідська, 56, кошти невикористані у повному обсязі, у з'вязку із затримкою поставки специфічного  дороговартістного обладнання  виробниками. Роботи будуть завершено у 2018 році.</t>
  </si>
  <si>
    <t>Економія коштів згідно кошторису витрат по договору з капітального ремонту фасаду житлового будинку з утеплення стін по вул. Архітектора Старова, 12 в м. Миколаєві на 2017 рік. Роботи будуть завершені у 2018 році.</t>
  </si>
  <si>
    <t xml:space="preserve">Роботи згідно плану робіт на 2017 рік виконано у повному обсязі, економія коштів згідно укладених договорів. </t>
  </si>
  <si>
    <t xml:space="preserve">кошти невикористано у зв'язку з тим, що 3 договори було укладено з підрядною організацією м. Одеса (підрядник виявився неспроможним виконанти зазначені роботи), тому договори було розірвано. </t>
  </si>
  <si>
    <t>У зв'язку зі настанням несприятливих погодних умов</t>
  </si>
  <si>
    <t xml:space="preserve">Економія коштів (згідно укладених договорів та кошторису). </t>
  </si>
  <si>
    <t xml:space="preserve">У зв’язку зі змінами у діючому законодавстві (Закон України від 17.01.2017 № 1817 «Про внесення змін в деякі законодавчі акти України відносно удоскональналення містобудівної діяльності») та через відсутність Порядку ДП «Укрдержбудекспертиза» тимчасово (до отримання роз’яснення) не проводилась експертиза виготовленої проектно-кошторисної документації на капітальний ремонт об'єктів </t>
  </si>
  <si>
    <t>Економія коштів в наслідок відсутностіснігового покрову</t>
  </si>
  <si>
    <t>Відмова переможця торгів (підрядника) від поставки товару у звязку з підвищенням курсу долара</t>
  </si>
  <si>
    <t>У звязку з тим, що додаткову угоду було надано 28.12.17</t>
  </si>
  <si>
    <t>Економія коштів в наслідок проведення процедури закупівель, а також не було виконано всіх обсягів робіт з ліквідації ДТП, додаткові угоди були надані 28.12.17</t>
  </si>
  <si>
    <t>Роботи відповідно до пропозицій депутата виконані.   Однак, об’єми зазначених робіт за усним проханням Кучкарової С.С. були зменшені та їх загальна вартість склала 71,13 тис. грн.В звязку з цим виникла економія коштів на суму 128,870 тис. грн.</t>
  </si>
  <si>
    <t>Фінансування здійснювалось за фактом наданих послуг в залежності від погодних умов, тому кошти залишилися</t>
  </si>
  <si>
    <t>У зв'язку з заміною номенклатури послуг на більш приоритетіи згідно з вимогами Национальної поліції, зверненнями депутатів та громадян міста</t>
  </si>
  <si>
    <t>Через закупівлю за допомогою системи "Prozorro" сталося економія бюджетних коштів</t>
  </si>
  <si>
    <t>У зв'язку з встановленням енергозберегаючих ламп на світлофорних об'єктах</t>
  </si>
  <si>
    <t>Внаслідок економії коштів</t>
  </si>
  <si>
    <t>Економія внаслідок проведення процедури закупівель</t>
  </si>
  <si>
    <t>Затримка в проходженні комплексної експертизи проекту(СС3 - м.Київ)</t>
  </si>
  <si>
    <t>Зниження температури завадило укладанню асфальтобетонних сумішей ЩМА-20</t>
  </si>
  <si>
    <t>Затримка в проходженні комплексної експертизи проекту(СС2)</t>
  </si>
  <si>
    <t>У зв'язку з тим, що у листопаді 2017 року вносились зміни до розпорядження КМУ стосовно механізму освоєння коштів субвенції, тому згідно укладених договорів з ТОВ "НІКОІНТЕРМ" кошти невикоритані у повному обсязі з причини виділення коштів наприкінці бюджетного року та затримки поставки специфічного обладнання виробниками.</t>
  </si>
  <si>
    <t>У зв'язку з тим, що у листопаді 2017 року вносились зміни до розпорядження КМУ стосовно механізму освоєння коштів субвенції, тому кошти невикоритані з причини виділення коштів наприкінці бюджетного року.</t>
  </si>
  <si>
    <t xml:space="preserve">Продавець не своєчасно надав договірний пакет документів;                                                                            459,62 грн., економія сталася за рахунок зниження ціни в результаті проведення конкурсних торгів на закупівлю бітумізатора </t>
  </si>
  <si>
    <t>Економія коштів внаслідок фактичного виконання робіт</t>
  </si>
  <si>
    <t>Було здійснено у солідарному розмірі 50/50 з ГДМБ</t>
  </si>
  <si>
    <t>Підрядник не укладав дод.угоду, тому.що рішення сесії було 06.12.2017. Виконати роботи за такий короткий час неможливо.</t>
  </si>
  <si>
    <t>Економія загального ліміту проектно-вишукувальних робіт</t>
  </si>
  <si>
    <t>Не виконувались роботи з причини форс мажорних обставин</t>
  </si>
  <si>
    <t>Інформація про звітні показники за бюджетнимипрограмами та показниками по департаменту ЖКГ ММР
 за період  01.01.2017 - 31.12.2017</t>
  </si>
</sst>
</file>

<file path=xl/styles.xml><?xml version="1.0" encoding="utf-8"?>
<styleSheet xmlns="http://schemas.openxmlformats.org/spreadsheetml/2006/main">
  <numFmts count="2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2">
    <font>
      <sz val="8"/>
      <name val="Arial"/>
      <family val="2"/>
    </font>
    <font>
      <sz val="10"/>
      <name val="Times New Roman"/>
      <family val="1"/>
    </font>
    <font>
      <sz val="9"/>
      <name val="Times New Roman"/>
      <family val="1"/>
    </font>
    <font>
      <sz val="8"/>
      <name val="Times New Roman"/>
      <family val="1"/>
    </font>
    <font>
      <b/>
      <sz val="8"/>
      <name val="Times New Roman"/>
      <family val="1"/>
    </font>
    <font>
      <b/>
      <sz val="12"/>
      <name val="Times New Roman"/>
      <family val="1"/>
    </font>
    <font>
      <sz val="8"/>
      <color indexed="24"/>
      <name val="Times New Roman"/>
      <family val="1"/>
    </font>
    <font>
      <sz val="8"/>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0" fillId="0" borderId="0">
      <alignment/>
      <protection/>
    </xf>
    <xf numFmtId="0" fontId="0" fillId="0" borderId="0">
      <alignment/>
      <protection/>
    </xf>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0"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39" fillId="0" borderId="9" applyNumberFormat="0" applyFill="0" applyAlignment="0" applyProtection="0"/>
    <xf numFmtId="0" fontId="40" fillId="0" borderId="0" applyNumberFormat="0" applyFill="0" applyBorder="0" applyAlignment="0" applyProtection="0"/>
    <xf numFmtId="0" fontId="0" fillId="0" borderId="0">
      <alignment/>
      <protection/>
    </xf>
    <xf numFmtId="0" fontId="0" fillId="0" borderId="0">
      <alignment/>
      <protection/>
    </xf>
    <xf numFmtId="0" fontId="41" fillId="32" borderId="0" applyNumberFormat="0" applyBorder="0" applyAlignment="0" applyProtection="0"/>
  </cellStyleXfs>
  <cellXfs count="59">
    <xf numFmtId="0" fontId="0" fillId="0" borderId="0" xfId="0" applyAlignment="1">
      <alignment/>
    </xf>
    <xf numFmtId="0" fontId="3" fillId="0" borderId="0" xfId="0" applyFont="1" applyAlignment="1">
      <alignment/>
    </xf>
    <xf numFmtId="0" fontId="4" fillId="0" borderId="0" xfId="0" applyNumberFormat="1" applyFont="1" applyAlignment="1">
      <alignment horizontal="center" vertical="center" wrapText="1"/>
    </xf>
    <xf numFmtId="0" fontId="2" fillId="0" borderId="0" xfId="0" applyNumberFormat="1" applyFont="1" applyAlignment="1">
      <alignment horizontal="center" vertical="center" wrapText="1"/>
    </xf>
    <xf numFmtId="4" fontId="2" fillId="0" borderId="0" xfId="0" applyNumberFormat="1" applyFont="1" applyAlignment="1">
      <alignment horizontal="center" vertical="center" wrapText="1"/>
    </xf>
    <xf numFmtId="10" fontId="2" fillId="0" borderId="0" xfId="0" applyNumberFormat="1" applyFont="1" applyAlignment="1">
      <alignment horizontal="center" vertical="center" wrapText="1"/>
    </xf>
    <xf numFmtId="0" fontId="2" fillId="0" borderId="0" xfId="0" applyFont="1" applyAlignment="1">
      <alignment horizontal="left" wrapText="1"/>
    </xf>
    <xf numFmtId="0" fontId="2" fillId="0" borderId="0" xfId="0" applyFont="1" applyAlignment="1">
      <alignment horizontal="left"/>
    </xf>
    <xf numFmtId="0" fontId="3" fillId="0" borderId="0" xfId="0" applyFont="1" applyAlignment="1">
      <alignment wrapText="1"/>
    </xf>
    <xf numFmtId="0" fontId="3" fillId="0" borderId="0" xfId="0" applyFont="1" applyAlignment="1">
      <alignment horizontal="left"/>
    </xf>
    <xf numFmtId="4" fontId="3" fillId="0" borderId="0" xfId="0" applyNumberFormat="1" applyFont="1" applyAlignment="1">
      <alignment horizontal="left"/>
    </xf>
    <xf numFmtId="4" fontId="3" fillId="0" borderId="0" xfId="0" applyNumberFormat="1" applyFont="1" applyAlignment="1">
      <alignment horizontal="right"/>
    </xf>
    <xf numFmtId="10" fontId="3" fillId="0" borderId="0" xfId="0" applyNumberFormat="1" applyFont="1" applyAlignment="1">
      <alignment horizontal="right"/>
    </xf>
    <xf numFmtId="0" fontId="3" fillId="0" borderId="0" xfId="0" applyFont="1" applyAlignment="1">
      <alignment horizontal="left" wrapText="1"/>
    </xf>
    <xf numFmtId="0" fontId="2" fillId="0" borderId="10" xfId="0" applyNumberFormat="1" applyFont="1" applyBorder="1" applyAlignment="1">
      <alignment horizontal="center" vertical="center"/>
    </xf>
    <xf numFmtId="0" fontId="1" fillId="33" borderId="10" xfId="0" applyNumberFormat="1" applyFont="1" applyFill="1" applyBorder="1" applyAlignment="1">
      <alignment horizontal="left" vertical="top" wrapText="1"/>
    </xf>
    <xf numFmtId="4" fontId="1" fillId="33" borderId="10" xfId="0" applyNumberFormat="1" applyFont="1" applyFill="1" applyBorder="1" applyAlignment="1">
      <alignment horizontal="left" vertical="top" wrapText="1"/>
    </xf>
    <xf numFmtId="10" fontId="1" fillId="33" borderId="10" xfId="0" applyNumberFormat="1" applyFont="1" applyFill="1" applyBorder="1" applyAlignment="1">
      <alignment horizontal="left" vertical="top" wrapText="1"/>
    </xf>
    <xf numFmtId="0" fontId="1" fillId="0" borderId="10" xfId="0" applyFont="1" applyBorder="1" applyAlignment="1">
      <alignment horizontal="center" vertical="center" wrapText="1"/>
    </xf>
    <xf numFmtId="0" fontId="6" fillId="0" borderId="10" xfId="0" applyNumberFormat="1" applyFont="1" applyFill="1" applyBorder="1" applyAlignment="1">
      <alignment horizontal="left" vertical="top" wrapText="1"/>
    </xf>
    <xf numFmtId="4" fontId="6" fillId="0" borderId="10" xfId="0" applyNumberFormat="1" applyFont="1" applyFill="1" applyBorder="1" applyAlignment="1">
      <alignment horizontal="right" vertical="top"/>
    </xf>
    <xf numFmtId="10" fontId="6" fillId="0" borderId="10" xfId="0" applyNumberFormat="1" applyFont="1" applyFill="1" applyBorder="1" applyAlignment="1">
      <alignment horizontal="right" vertical="top"/>
    </xf>
    <xf numFmtId="0" fontId="3" fillId="0" borderId="10" xfId="0" applyFont="1" applyFill="1" applyBorder="1" applyAlignment="1">
      <alignment wrapText="1"/>
    </xf>
    <xf numFmtId="0" fontId="3" fillId="0" borderId="0" xfId="0" applyFont="1" applyFill="1" applyAlignment="1">
      <alignment/>
    </xf>
    <xf numFmtId="0" fontId="6" fillId="0" borderId="10" xfId="0" applyNumberFormat="1" applyFont="1" applyFill="1" applyBorder="1" applyAlignment="1">
      <alignment horizontal="left" vertical="top" wrapText="1" indent="2"/>
    </xf>
    <xf numFmtId="2" fontId="6" fillId="0" borderId="10" xfId="0" applyNumberFormat="1" applyFont="1" applyFill="1" applyBorder="1" applyAlignment="1">
      <alignment horizontal="right" vertical="top"/>
    </xf>
    <xf numFmtId="0" fontId="6" fillId="0" borderId="10" xfId="0" applyNumberFormat="1" applyFont="1" applyFill="1" applyBorder="1" applyAlignment="1">
      <alignment horizontal="left" vertical="top" wrapText="1" indent="4"/>
    </xf>
    <xf numFmtId="0" fontId="6" fillId="0" borderId="10" xfId="0" applyNumberFormat="1" applyFont="1" applyFill="1" applyBorder="1" applyAlignment="1">
      <alignment horizontal="right" vertical="top"/>
    </xf>
    <xf numFmtId="0" fontId="6" fillId="0" borderId="10" xfId="0" applyNumberFormat="1" applyFont="1" applyFill="1" applyBorder="1" applyAlignment="1">
      <alignment horizontal="left" vertical="top" wrapText="1" indent="6"/>
    </xf>
    <xf numFmtId="0" fontId="3" fillId="0" borderId="0" xfId="0" applyFont="1" applyFill="1" applyAlignment="1">
      <alignment wrapText="1"/>
    </xf>
    <xf numFmtId="0" fontId="6" fillId="33" borderId="10" xfId="0" applyNumberFormat="1" applyFont="1" applyFill="1" applyBorder="1" applyAlignment="1">
      <alignment horizontal="left" vertical="top" wrapText="1" indent="6"/>
    </xf>
    <xf numFmtId="4" fontId="6" fillId="33" borderId="10" xfId="0" applyNumberFormat="1" applyFont="1" applyFill="1" applyBorder="1" applyAlignment="1">
      <alignment horizontal="right" vertical="top"/>
    </xf>
    <xf numFmtId="0" fontId="6" fillId="33" borderId="10" xfId="0" applyNumberFormat="1" applyFont="1" applyFill="1" applyBorder="1" applyAlignment="1">
      <alignment horizontal="right" vertical="top"/>
    </xf>
    <xf numFmtId="10" fontId="6" fillId="10" borderId="10" xfId="0" applyNumberFormat="1" applyFont="1" applyFill="1" applyBorder="1" applyAlignment="1">
      <alignment horizontal="right" vertical="top"/>
    </xf>
    <xf numFmtId="0" fontId="3" fillId="0" borderId="10" xfId="0" applyFont="1" applyBorder="1" applyAlignment="1">
      <alignment wrapText="1"/>
    </xf>
    <xf numFmtId="4" fontId="3" fillId="0" borderId="0" xfId="0" applyNumberFormat="1" applyFont="1" applyFill="1" applyAlignment="1">
      <alignment/>
    </xf>
    <xf numFmtId="0" fontId="6" fillId="10" borderId="10" xfId="0" applyNumberFormat="1" applyFont="1" applyFill="1" applyBorder="1" applyAlignment="1">
      <alignment horizontal="left" vertical="top" wrapText="1" indent="4"/>
    </xf>
    <xf numFmtId="4" fontId="6" fillId="10" borderId="10" xfId="0" applyNumberFormat="1" applyFont="1" applyFill="1" applyBorder="1" applyAlignment="1">
      <alignment horizontal="right" vertical="top"/>
    </xf>
    <xf numFmtId="0" fontId="6" fillId="10" borderId="10" xfId="0" applyNumberFormat="1" applyFont="1" applyFill="1" applyBorder="1" applyAlignment="1">
      <alignment horizontal="right" vertical="top"/>
    </xf>
    <xf numFmtId="0" fontId="3" fillId="10" borderId="10" xfId="0" applyFont="1" applyFill="1" applyBorder="1" applyAlignment="1">
      <alignment wrapText="1"/>
    </xf>
    <xf numFmtId="0" fontId="3" fillId="10" borderId="0" xfId="0" applyFont="1" applyFill="1" applyAlignment="1">
      <alignment/>
    </xf>
    <xf numFmtId="0" fontId="6" fillId="10" borderId="10" xfId="0" applyNumberFormat="1" applyFont="1" applyFill="1" applyBorder="1" applyAlignment="1">
      <alignment horizontal="left" vertical="top" wrapText="1" indent="6"/>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0" xfId="0" applyFont="1" applyFill="1" applyBorder="1" applyAlignment="1">
      <alignment vertical="top" wrapText="1"/>
    </xf>
    <xf numFmtId="10" fontId="6" fillId="0" borderId="10" xfId="0" applyNumberFormat="1" applyFont="1" applyFill="1" applyBorder="1" applyAlignment="1">
      <alignment vertical="top" wrapText="1"/>
    </xf>
    <xf numFmtId="0" fontId="6" fillId="0" borderId="10" xfId="0" applyNumberFormat="1" applyFont="1" applyFill="1" applyBorder="1" applyAlignment="1">
      <alignment horizontal="left" vertical="center" wrapText="1" indent="6"/>
    </xf>
    <xf numFmtId="4" fontId="6" fillId="0" borderId="10" xfId="0" applyNumberFormat="1" applyFont="1" applyFill="1" applyBorder="1" applyAlignment="1">
      <alignment horizontal="right" vertical="center"/>
    </xf>
    <xf numFmtId="0" fontId="6" fillId="0" borderId="10" xfId="0" applyNumberFormat="1" applyFont="1" applyFill="1" applyBorder="1" applyAlignment="1">
      <alignment horizontal="right" vertical="center"/>
    </xf>
    <xf numFmtId="0" fontId="3" fillId="0" borderId="10" xfId="0" applyFont="1" applyFill="1" applyBorder="1" applyAlignment="1">
      <alignment vertical="center" wrapText="1"/>
    </xf>
    <xf numFmtId="4" fontId="7" fillId="0" borderId="10" xfId="0" applyNumberFormat="1" applyFont="1" applyFill="1" applyBorder="1" applyAlignment="1">
      <alignment horizontal="right" vertical="top"/>
    </xf>
    <xf numFmtId="2" fontId="3" fillId="0" borderId="0" xfId="0" applyNumberFormat="1" applyFont="1" applyFill="1" applyAlignment="1">
      <alignment/>
    </xf>
    <xf numFmtId="0" fontId="3" fillId="0" borderId="10" xfId="0" applyFont="1" applyFill="1" applyBorder="1" applyAlignment="1">
      <alignment horizontal="center" vertical="center" wrapText="1"/>
    </xf>
    <xf numFmtId="10" fontId="3" fillId="0" borderId="0" xfId="0" applyNumberFormat="1" applyFont="1" applyAlignment="1">
      <alignment horizontal="left"/>
    </xf>
    <xf numFmtId="0" fontId="3" fillId="0" borderId="12" xfId="0" applyFont="1" applyFill="1" applyBorder="1" applyAlignment="1">
      <alignment horizontal="left" wrapText="1"/>
    </xf>
    <xf numFmtId="0" fontId="3" fillId="0" borderId="13" xfId="0" applyFont="1" applyFill="1" applyBorder="1" applyAlignment="1">
      <alignment horizontal="left" wrapText="1"/>
    </xf>
    <xf numFmtId="0" fontId="3" fillId="0" borderId="11" xfId="0" applyFont="1" applyFill="1" applyBorder="1" applyAlignment="1">
      <alignment horizontal="left" wrapText="1"/>
    </xf>
    <xf numFmtId="0" fontId="5" fillId="0" borderId="0" xfId="0" applyNumberFormat="1" applyFont="1" applyAlignment="1">
      <alignment horizontal="center" wrapText="1"/>
    </xf>
    <xf numFmtId="0" fontId="0" fillId="0" borderId="0" xfId="0" applyAlignment="1">
      <alignmen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4D4D4D"/>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R237"/>
  <sheetViews>
    <sheetView tabSelected="1" zoomScale="80" zoomScaleNormal="80" zoomScalePageLayoutView="0" workbookViewId="0" topLeftCell="A1">
      <pane ySplit="4" topLeftCell="A5" activePane="bottomLeft" state="frozen"/>
      <selection pane="topLeft" activeCell="A1" sqref="A1"/>
      <selection pane="bottomLeft" activeCell="P1" sqref="P1:P16384"/>
    </sheetView>
  </sheetViews>
  <sheetFormatPr defaultColWidth="9.33203125" defaultRowHeight="11.25" outlineLevelRow="3"/>
  <cols>
    <col min="1" max="1" width="79.83203125" style="9" customWidth="1"/>
    <col min="2" max="3" width="17.16015625" style="9" hidden="1" customWidth="1"/>
    <col min="4" max="4" width="16" style="9" hidden="1" customWidth="1"/>
    <col min="5" max="5" width="17.16015625" style="9" customWidth="1"/>
    <col min="6" max="7" width="17.16015625" style="9" hidden="1" customWidth="1"/>
    <col min="8" max="8" width="17.16015625" style="9" customWidth="1"/>
    <col min="9" max="9" width="17.16015625" style="9" hidden="1" customWidth="1"/>
    <col min="10" max="10" width="5.5" style="9" hidden="1" customWidth="1"/>
    <col min="11" max="11" width="17.16015625" style="9" hidden="1" customWidth="1"/>
    <col min="12" max="12" width="17.16015625" style="10" customWidth="1"/>
    <col min="13" max="13" width="12.5" style="10" hidden="1" customWidth="1"/>
    <col min="14" max="14" width="18.83203125" style="10" customWidth="1"/>
    <col min="15" max="15" width="12.5" style="53" customWidth="1"/>
    <col min="16" max="16" width="43.16015625" style="8" hidden="1" customWidth="1"/>
    <col min="17" max="17" width="12.33203125" style="1" customWidth="1"/>
    <col min="18" max="18" width="42.16015625" style="1" customWidth="1"/>
    <col min="19" max="16384" width="9.33203125" style="1" customWidth="1"/>
  </cols>
  <sheetData>
    <row r="1" spans="1:16" s="7" customFormat="1" ht="12.75" customHeight="1">
      <c r="A1" s="2"/>
      <c r="B1" s="3"/>
      <c r="C1" s="3"/>
      <c r="D1" s="3"/>
      <c r="E1" s="3"/>
      <c r="F1" s="3"/>
      <c r="G1" s="3"/>
      <c r="H1" s="3"/>
      <c r="I1" s="3"/>
      <c r="J1" s="3"/>
      <c r="K1" s="3"/>
      <c r="L1" s="4"/>
      <c r="M1" s="4"/>
      <c r="N1" s="4"/>
      <c r="O1" s="5"/>
      <c r="P1" s="6"/>
    </row>
    <row r="2" spans="1:16" ht="36.75" customHeight="1">
      <c r="A2" s="57" t="s">
        <v>247</v>
      </c>
      <c r="B2" s="57"/>
      <c r="C2" s="57"/>
      <c r="D2" s="57"/>
      <c r="E2" s="57"/>
      <c r="F2" s="57"/>
      <c r="G2" s="57"/>
      <c r="H2" s="57"/>
      <c r="I2" s="57"/>
      <c r="J2" s="57"/>
      <c r="K2" s="57"/>
      <c r="L2" s="57"/>
      <c r="M2" s="57"/>
      <c r="N2" s="58"/>
      <c r="O2" s="58"/>
      <c r="P2" s="58"/>
    </row>
    <row r="3" spans="12:16" s="9" customFormat="1" ht="11.25" customHeight="1">
      <c r="L3" s="10"/>
      <c r="M3" s="11" t="s">
        <v>0</v>
      </c>
      <c r="N3" s="11"/>
      <c r="O3" s="12"/>
      <c r="P3" s="13"/>
    </row>
    <row r="4" spans="1:16" s="9" customFormat="1" ht="36.75" customHeight="1">
      <c r="A4" s="14" t="s">
        <v>1</v>
      </c>
      <c r="B4" s="15" t="s">
        <v>2</v>
      </c>
      <c r="C4" s="15" t="s">
        <v>3</v>
      </c>
      <c r="D4" s="15" t="s">
        <v>4</v>
      </c>
      <c r="E4" s="15" t="s">
        <v>5</v>
      </c>
      <c r="F4" s="15" t="s">
        <v>6</v>
      </c>
      <c r="G4" s="15" t="s">
        <v>7</v>
      </c>
      <c r="H4" s="15" t="s">
        <v>8</v>
      </c>
      <c r="I4" s="15" t="s">
        <v>9</v>
      </c>
      <c r="J4" s="15" t="s">
        <v>10</v>
      </c>
      <c r="K4" s="15" t="s">
        <v>11</v>
      </c>
      <c r="L4" s="16" t="s">
        <v>144</v>
      </c>
      <c r="M4" s="16" t="s">
        <v>142</v>
      </c>
      <c r="N4" s="16" t="s">
        <v>145</v>
      </c>
      <c r="O4" s="17" t="s">
        <v>146</v>
      </c>
      <c r="P4" s="18" t="s">
        <v>141</v>
      </c>
    </row>
    <row r="5" spans="1:16" s="23" customFormat="1" ht="11.25" customHeight="1">
      <c r="A5" s="19" t="s">
        <v>12</v>
      </c>
      <c r="B5" s="20">
        <v>373098053</v>
      </c>
      <c r="C5" s="20">
        <v>373098053</v>
      </c>
      <c r="D5" s="20">
        <v>7018459</v>
      </c>
      <c r="E5" s="20">
        <v>599760437.2</v>
      </c>
      <c r="F5" s="20">
        <v>599760437.2</v>
      </c>
      <c r="G5" s="20">
        <v>29908760.44</v>
      </c>
      <c r="H5" s="20">
        <v>525438865.74</v>
      </c>
      <c r="I5" s="20">
        <v>180876953.45</v>
      </c>
      <c r="J5" s="20">
        <v>74321571.46</v>
      </c>
      <c r="K5" s="20">
        <v>74321571.46</v>
      </c>
      <c r="L5" s="20"/>
      <c r="M5" s="20">
        <v>604.76</v>
      </c>
      <c r="N5" s="20"/>
      <c r="O5" s="21"/>
      <c r="P5" s="22"/>
    </row>
    <row r="6" spans="1:16" s="23" customFormat="1" ht="11.25" customHeight="1" outlineLevel="1">
      <c r="A6" s="24" t="s">
        <v>147</v>
      </c>
      <c r="B6" s="20">
        <v>10035800</v>
      </c>
      <c r="C6" s="20">
        <v>10035800</v>
      </c>
      <c r="D6" s="20">
        <v>655904</v>
      </c>
      <c r="E6" s="20">
        <v>11701300</v>
      </c>
      <c r="F6" s="20">
        <v>11701300</v>
      </c>
      <c r="G6" s="20">
        <v>950273</v>
      </c>
      <c r="H6" s="20">
        <v>11700934.41</v>
      </c>
      <c r="I6" s="20">
        <v>1843942.28</v>
      </c>
      <c r="J6" s="25">
        <v>365.59</v>
      </c>
      <c r="K6" s="25">
        <v>365.59</v>
      </c>
      <c r="L6" s="20">
        <f>SUM(L7:L27)</f>
        <v>11608477.120000001</v>
      </c>
      <c r="M6" s="20">
        <v>194.04</v>
      </c>
      <c r="N6" s="20">
        <f>E6-L6</f>
        <v>92822.87999999896</v>
      </c>
      <c r="O6" s="21">
        <f>L6/E6</f>
        <v>0.992067301923718</v>
      </c>
      <c r="P6" s="22"/>
    </row>
    <row r="7" spans="1:16" s="23" customFormat="1" ht="10.5" customHeight="1" outlineLevel="2" collapsed="1">
      <c r="A7" s="26" t="s">
        <v>13</v>
      </c>
      <c r="B7" s="20">
        <v>6742100</v>
      </c>
      <c r="C7" s="20">
        <v>6742100</v>
      </c>
      <c r="D7" s="20">
        <v>513959</v>
      </c>
      <c r="E7" s="20">
        <v>7847000</v>
      </c>
      <c r="F7" s="20">
        <v>7847000</v>
      </c>
      <c r="G7" s="20">
        <v>746859</v>
      </c>
      <c r="H7" s="20">
        <v>7847000</v>
      </c>
      <c r="I7" s="20">
        <v>956868.95</v>
      </c>
      <c r="J7" s="27"/>
      <c r="K7" s="27"/>
      <c r="L7" s="20">
        <v>7846971.23</v>
      </c>
      <c r="M7" s="20">
        <v>128.12</v>
      </c>
      <c r="N7" s="20">
        <f aca="true" t="shared" si="0" ref="N7:N27">E7-L7</f>
        <v>28.769999999552965</v>
      </c>
      <c r="O7" s="21">
        <f aca="true" t="shared" si="1" ref="O7:O70">L7/E7</f>
        <v>0.999996333630687</v>
      </c>
      <c r="P7" s="54" t="s">
        <v>184</v>
      </c>
    </row>
    <row r="8" spans="1:16" s="23" customFormat="1" ht="0.75" customHeight="1" hidden="1" outlineLevel="3">
      <c r="A8" s="28" t="s">
        <v>14</v>
      </c>
      <c r="B8" s="20">
        <v>6742100</v>
      </c>
      <c r="C8" s="20">
        <v>6742100</v>
      </c>
      <c r="D8" s="20">
        <v>513959</v>
      </c>
      <c r="E8" s="20">
        <v>7847000</v>
      </c>
      <c r="F8" s="20">
        <v>7847000</v>
      </c>
      <c r="G8" s="20">
        <v>746859</v>
      </c>
      <c r="H8" s="20">
        <v>7847000</v>
      </c>
      <c r="I8" s="20">
        <v>956868.95</v>
      </c>
      <c r="J8" s="27"/>
      <c r="K8" s="27"/>
      <c r="L8" s="20"/>
      <c r="M8" s="20">
        <v>128.12</v>
      </c>
      <c r="N8" s="20">
        <f t="shared" si="0"/>
        <v>7847000</v>
      </c>
      <c r="O8" s="21">
        <f t="shared" si="1"/>
        <v>0</v>
      </c>
      <c r="P8" s="55"/>
    </row>
    <row r="9" spans="1:18" s="23" customFormat="1" ht="45" customHeight="1" outlineLevel="2" collapsed="1">
      <c r="A9" s="26" t="s">
        <v>15</v>
      </c>
      <c r="B9" s="20">
        <v>1470783</v>
      </c>
      <c r="C9" s="20">
        <v>1470783</v>
      </c>
      <c r="D9" s="20">
        <v>104830</v>
      </c>
      <c r="E9" s="20">
        <v>1698883</v>
      </c>
      <c r="F9" s="20">
        <v>1698883</v>
      </c>
      <c r="G9" s="20">
        <v>141050</v>
      </c>
      <c r="H9" s="20">
        <v>1698883</v>
      </c>
      <c r="I9" s="20">
        <v>217209.89</v>
      </c>
      <c r="J9" s="27"/>
      <c r="K9" s="27"/>
      <c r="L9" s="20">
        <v>1691470</v>
      </c>
      <c r="M9" s="20">
        <v>153.99</v>
      </c>
      <c r="N9" s="20">
        <f t="shared" si="0"/>
        <v>7413</v>
      </c>
      <c r="O9" s="21">
        <f t="shared" si="1"/>
        <v>0.9956365447179117</v>
      </c>
      <c r="P9" s="56"/>
      <c r="R9" s="29"/>
    </row>
    <row r="10" spans="1:16" s="23" customFormat="1" ht="11.25" customHeight="1" hidden="1" outlineLevel="3">
      <c r="A10" s="28" t="s">
        <v>14</v>
      </c>
      <c r="B10" s="20">
        <v>1470783</v>
      </c>
      <c r="C10" s="20">
        <v>1470783</v>
      </c>
      <c r="D10" s="20">
        <v>104830</v>
      </c>
      <c r="E10" s="20">
        <v>1698883</v>
      </c>
      <c r="F10" s="20">
        <v>1698883</v>
      </c>
      <c r="G10" s="20">
        <v>141050</v>
      </c>
      <c r="H10" s="20">
        <v>1698883</v>
      </c>
      <c r="I10" s="20">
        <v>217209.89</v>
      </c>
      <c r="J10" s="27"/>
      <c r="K10" s="27"/>
      <c r="L10" s="20"/>
      <c r="M10" s="20">
        <v>153.99</v>
      </c>
      <c r="N10" s="20">
        <f t="shared" si="0"/>
        <v>1698883</v>
      </c>
      <c r="O10" s="21">
        <f t="shared" si="1"/>
        <v>0</v>
      </c>
      <c r="P10" s="22"/>
    </row>
    <row r="11" spans="1:16" s="23" customFormat="1" ht="11.25" customHeight="1" outlineLevel="2" collapsed="1">
      <c r="A11" s="26" t="s">
        <v>16</v>
      </c>
      <c r="B11" s="20">
        <v>476463</v>
      </c>
      <c r="C11" s="20">
        <v>476463</v>
      </c>
      <c r="D11" s="27"/>
      <c r="E11" s="20">
        <v>578020</v>
      </c>
      <c r="F11" s="20">
        <v>578020</v>
      </c>
      <c r="G11" s="20">
        <v>25892</v>
      </c>
      <c r="H11" s="20">
        <v>578020</v>
      </c>
      <c r="I11" s="20">
        <v>194702.64</v>
      </c>
      <c r="J11" s="27"/>
      <c r="K11" s="27"/>
      <c r="L11" s="20">
        <v>578017.16</v>
      </c>
      <c r="M11" s="20">
        <v>751.98</v>
      </c>
      <c r="N11" s="20">
        <f t="shared" si="0"/>
        <v>2.8399999999674037</v>
      </c>
      <c r="O11" s="21">
        <f t="shared" si="1"/>
        <v>0.9999950866752016</v>
      </c>
      <c r="P11" s="22" t="s">
        <v>182</v>
      </c>
    </row>
    <row r="12" spans="1:16" s="23" customFormat="1" ht="11.25" customHeight="1" hidden="1" outlineLevel="3">
      <c r="A12" s="28" t="s">
        <v>14</v>
      </c>
      <c r="B12" s="20">
        <v>476463</v>
      </c>
      <c r="C12" s="20">
        <v>476463</v>
      </c>
      <c r="D12" s="27"/>
      <c r="E12" s="20">
        <v>578020</v>
      </c>
      <c r="F12" s="20">
        <v>578020</v>
      </c>
      <c r="G12" s="20">
        <v>25892</v>
      </c>
      <c r="H12" s="20">
        <v>578020</v>
      </c>
      <c r="I12" s="20">
        <v>194702.64</v>
      </c>
      <c r="J12" s="27"/>
      <c r="K12" s="27"/>
      <c r="L12" s="20"/>
      <c r="M12" s="20">
        <v>751.98</v>
      </c>
      <c r="N12" s="20">
        <f t="shared" si="0"/>
        <v>578020</v>
      </c>
      <c r="O12" s="21">
        <f t="shared" si="1"/>
        <v>0</v>
      </c>
      <c r="P12" s="22" t="s">
        <v>182</v>
      </c>
    </row>
    <row r="13" spans="1:16" s="23" customFormat="1" ht="11.25" customHeight="1" outlineLevel="2" collapsed="1">
      <c r="A13" s="26" t="s">
        <v>17</v>
      </c>
      <c r="B13" s="20">
        <v>686570</v>
      </c>
      <c r="C13" s="20">
        <v>686570</v>
      </c>
      <c r="D13" s="20">
        <v>10000</v>
      </c>
      <c r="E13" s="20">
        <v>748300</v>
      </c>
      <c r="F13" s="20">
        <v>748300</v>
      </c>
      <c r="G13" s="27"/>
      <c r="H13" s="20">
        <v>748300</v>
      </c>
      <c r="I13" s="20">
        <v>172046.46</v>
      </c>
      <c r="J13" s="27"/>
      <c r="K13" s="27"/>
      <c r="L13" s="20">
        <v>748299.92</v>
      </c>
      <c r="M13" s="20"/>
      <c r="N13" s="20">
        <f t="shared" si="0"/>
        <v>0.07999999995809048</v>
      </c>
      <c r="O13" s="21">
        <f t="shared" si="1"/>
        <v>0.9999998930910063</v>
      </c>
      <c r="P13" s="22" t="s">
        <v>182</v>
      </c>
    </row>
    <row r="14" spans="1:16" s="23" customFormat="1" ht="11.25" customHeight="1" hidden="1" outlineLevel="3">
      <c r="A14" s="28" t="s">
        <v>14</v>
      </c>
      <c r="B14" s="20">
        <v>686570</v>
      </c>
      <c r="C14" s="20">
        <v>686570</v>
      </c>
      <c r="D14" s="20">
        <v>10000</v>
      </c>
      <c r="E14" s="20">
        <v>748300</v>
      </c>
      <c r="F14" s="20">
        <v>748300</v>
      </c>
      <c r="G14" s="27"/>
      <c r="H14" s="20">
        <v>748300</v>
      </c>
      <c r="I14" s="20">
        <v>172046.46</v>
      </c>
      <c r="J14" s="27"/>
      <c r="K14" s="27"/>
      <c r="L14" s="20"/>
      <c r="M14" s="20"/>
      <c r="N14" s="20">
        <f t="shared" si="0"/>
        <v>748300</v>
      </c>
      <c r="O14" s="21">
        <f t="shared" si="1"/>
        <v>0</v>
      </c>
      <c r="P14" s="22"/>
    </row>
    <row r="15" spans="1:16" s="23" customFormat="1" ht="22.5" customHeight="1" outlineLevel="2" collapsed="1">
      <c r="A15" s="26" t="s">
        <v>18</v>
      </c>
      <c r="B15" s="20">
        <v>12680</v>
      </c>
      <c r="C15" s="20">
        <v>12680</v>
      </c>
      <c r="D15" s="27"/>
      <c r="E15" s="20">
        <v>3629</v>
      </c>
      <c r="F15" s="20">
        <v>3629</v>
      </c>
      <c r="G15" s="27"/>
      <c r="H15" s="20">
        <v>3268.45</v>
      </c>
      <c r="I15" s="27"/>
      <c r="J15" s="25">
        <v>360.55</v>
      </c>
      <c r="K15" s="25">
        <v>360.55</v>
      </c>
      <c r="L15" s="20">
        <v>3268.45</v>
      </c>
      <c r="M15" s="20"/>
      <c r="N15" s="20">
        <f t="shared" si="0"/>
        <v>360.5500000000002</v>
      </c>
      <c r="O15" s="21">
        <f t="shared" si="1"/>
        <v>0.900647561311656</v>
      </c>
      <c r="P15" s="22" t="s">
        <v>183</v>
      </c>
    </row>
    <row r="16" spans="1:16" s="23" customFormat="1" ht="11.25" customHeight="1" hidden="1" outlineLevel="3">
      <c r="A16" s="28" t="s">
        <v>14</v>
      </c>
      <c r="B16" s="20">
        <v>12680</v>
      </c>
      <c r="C16" s="20">
        <v>12680</v>
      </c>
      <c r="D16" s="27"/>
      <c r="E16" s="20">
        <v>3629</v>
      </c>
      <c r="F16" s="20">
        <v>3629</v>
      </c>
      <c r="G16" s="27"/>
      <c r="H16" s="20">
        <v>3268.45</v>
      </c>
      <c r="I16" s="27"/>
      <c r="J16" s="25">
        <v>360.55</v>
      </c>
      <c r="K16" s="25">
        <v>360.55</v>
      </c>
      <c r="L16" s="20"/>
      <c r="M16" s="20"/>
      <c r="N16" s="20">
        <f t="shared" si="0"/>
        <v>3629</v>
      </c>
      <c r="O16" s="21">
        <f t="shared" si="1"/>
        <v>0</v>
      </c>
      <c r="P16" s="22"/>
    </row>
    <row r="17" spans="1:16" s="23" customFormat="1" ht="11.25" customHeight="1" outlineLevel="2" collapsed="1">
      <c r="A17" s="26" t="s">
        <v>19</v>
      </c>
      <c r="B17" s="20">
        <v>2687</v>
      </c>
      <c r="C17" s="20">
        <v>2687</v>
      </c>
      <c r="D17" s="25">
        <v>100</v>
      </c>
      <c r="E17" s="20">
        <v>4123</v>
      </c>
      <c r="F17" s="20">
        <v>4123</v>
      </c>
      <c r="G17" s="25">
        <v>100</v>
      </c>
      <c r="H17" s="20">
        <v>4123</v>
      </c>
      <c r="I17" s="25">
        <v>100</v>
      </c>
      <c r="J17" s="27"/>
      <c r="K17" s="27"/>
      <c r="L17" s="20">
        <v>4123</v>
      </c>
      <c r="M17" s="20">
        <v>100</v>
      </c>
      <c r="N17" s="20">
        <f t="shared" si="0"/>
        <v>0</v>
      </c>
      <c r="O17" s="21">
        <f t="shared" si="1"/>
        <v>1</v>
      </c>
      <c r="P17" s="22"/>
    </row>
    <row r="18" spans="1:16" s="23" customFormat="1" ht="11.25" customHeight="1" hidden="1" outlineLevel="3">
      <c r="A18" s="28" t="s">
        <v>14</v>
      </c>
      <c r="B18" s="20">
        <v>2687</v>
      </c>
      <c r="C18" s="20">
        <v>2687</v>
      </c>
      <c r="D18" s="25">
        <v>100</v>
      </c>
      <c r="E18" s="20">
        <v>4123</v>
      </c>
      <c r="F18" s="20">
        <v>4123</v>
      </c>
      <c r="G18" s="25">
        <v>100</v>
      </c>
      <c r="H18" s="20">
        <v>4123</v>
      </c>
      <c r="I18" s="25">
        <v>100</v>
      </c>
      <c r="J18" s="27"/>
      <c r="K18" s="27"/>
      <c r="L18" s="20"/>
      <c r="M18" s="20">
        <v>100</v>
      </c>
      <c r="N18" s="20">
        <f t="shared" si="0"/>
        <v>4123</v>
      </c>
      <c r="O18" s="21">
        <f t="shared" si="1"/>
        <v>0</v>
      </c>
      <c r="P18" s="22"/>
    </row>
    <row r="19" spans="1:16" s="23" customFormat="1" ht="36.75" customHeight="1" outlineLevel="2" collapsed="1">
      <c r="A19" s="26" t="s">
        <v>20</v>
      </c>
      <c r="B19" s="20">
        <v>154598</v>
      </c>
      <c r="C19" s="20">
        <v>154598</v>
      </c>
      <c r="D19" s="20">
        <v>12890</v>
      </c>
      <c r="E19" s="20">
        <v>154598</v>
      </c>
      <c r="F19" s="20">
        <v>154598</v>
      </c>
      <c r="G19" s="20">
        <v>12890</v>
      </c>
      <c r="H19" s="20">
        <v>154598</v>
      </c>
      <c r="I19" s="20">
        <v>36898.93</v>
      </c>
      <c r="J19" s="27"/>
      <c r="K19" s="27"/>
      <c r="L19" s="20">
        <v>140403.33</v>
      </c>
      <c r="M19" s="20">
        <v>286.26</v>
      </c>
      <c r="N19" s="20">
        <f t="shared" si="0"/>
        <v>14194.670000000013</v>
      </c>
      <c r="O19" s="21">
        <f t="shared" si="1"/>
        <v>0.9081833529541131</v>
      </c>
      <c r="P19" s="22" t="s">
        <v>181</v>
      </c>
    </row>
    <row r="20" spans="1:16" s="23" customFormat="1" ht="11.25" customHeight="1" hidden="1" outlineLevel="3">
      <c r="A20" s="28" t="s">
        <v>14</v>
      </c>
      <c r="B20" s="20">
        <v>154598</v>
      </c>
      <c r="C20" s="20">
        <v>154598</v>
      </c>
      <c r="D20" s="20">
        <v>12890</v>
      </c>
      <c r="E20" s="20">
        <v>154598</v>
      </c>
      <c r="F20" s="20">
        <v>154598</v>
      </c>
      <c r="G20" s="20">
        <v>12890</v>
      </c>
      <c r="H20" s="20">
        <v>154598</v>
      </c>
      <c r="I20" s="20">
        <v>36898.93</v>
      </c>
      <c r="J20" s="27"/>
      <c r="K20" s="27"/>
      <c r="L20" s="20"/>
      <c r="M20" s="20">
        <v>286.26</v>
      </c>
      <c r="N20" s="20">
        <f t="shared" si="0"/>
        <v>154598</v>
      </c>
      <c r="O20" s="21">
        <f t="shared" si="1"/>
        <v>0</v>
      </c>
      <c r="P20" s="22"/>
    </row>
    <row r="21" spans="1:16" s="23" customFormat="1" ht="46.5" customHeight="1" outlineLevel="2" collapsed="1">
      <c r="A21" s="26" t="s">
        <v>21</v>
      </c>
      <c r="B21" s="20">
        <v>249493</v>
      </c>
      <c r="C21" s="20">
        <v>249493</v>
      </c>
      <c r="D21" s="20">
        <v>12585</v>
      </c>
      <c r="E21" s="20">
        <v>248057</v>
      </c>
      <c r="F21" s="20">
        <v>248057</v>
      </c>
      <c r="G21" s="20">
        <v>12585</v>
      </c>
      <c r="H21" s="20">
        <v>248057</v>
      </c>
      <c r="I21" s="20">
        <v>120397.62</v>
      </c>
      <c r="J21" s="27"/>
      <c r="K21" s="27"/>
      <c r="L21" s="20">
        <v>179955.08</v>
      </c>
      <c r="M21" s="20">
        <v>956.68</v>
      </c>
      <c r="N21" s="20">
        <f t="shared" si="0"/>
        <v>68101.92000000001</v>
      </c>
      <c r="O21" s="21">
        <f t="shared" si="1"/>
        <v>0.7254585841157475</v>
      </c>
      <c r="P21" s="22" t="s">
        <v>180</v>
      </c>
    </row>
    <row r="22" spans="1:16" s="23" customFormat="1" ht="11.25" customHeight="1" hidden="1" outlineLevel="3">
      <c r="A22" s="28" t="s">
        <v>14</v>
      </c>
      <c r="B22" s="20">
        <v>249493</v>
      </c>
      <c r="C22" s="20">
        <v>249493</v>
      </c>
      <c r="D22" s="20">
        <v>12585</v>
      </c>
      <c r="E22" s="20">
        <v>248057</v>
      </c>
      <c r="F22" s="20">
        <v>248057</v>
      </c>
      <c r="G22" s="20">
        <v>12585</v>
      </c>
      <c r="H22" s="20">
        <v>248057</v>
      </c>
      <c r="I22" s="20">
        <v>120397.62</v>
      </c>
      <c r="J22" s="27"/>
      <c r="K22" s="27"/>
      <c r="L22" s="20"/>
      <c r="M22" s="20">
        <v>956.68</v>
      </c>
      <c r="N22" s="20">
        <f t="shared" si="0"/>
        <v>248057</v>
      </c>
      <c r="O22" s="21">
        <f t="shared" si="1"/>
        <v>0</v>
      </c>
      <c r="P22" s="22"/>
    </row>
    <row r="23" spans="1:16" s="23" customFormat="1" ht="37.5" customHeight="1" outlineLevel="2">
      <c r="A23" s="26" t="s">
        <v>22</v>
      </c>
      <c r="B23" s="20">
        <v>20226</v>
      </c>
      <c r="C23" s="20">
        <v>20226</v>
      </c>
      <c r="D23" s="20">
        <v>1540</v>
      </c>
      <c r="E23" s="20">
        <v>30990</v>
      </c>
      <c r="F23" s="20">
        <v>30990</v>
      </c>
      <c r="G23" s="20">
        <v>10897</v>
      </c>
      <c r="H23" s="20">
        <v>30990</v>
      </c>
      <c r="I23" s="20">
        <v>10897.81</v>
      </c>
      <c r="J23" s="27"/>
      <c r="K23" s="27"/>
      <c r="L23" s="20">
        <v>28273.99</v>
      </c>
      <c r="M23" s="20">
        <v>100.01</v>
      </c>
      <c r="N23" s="20">
        <f t="shared" si="0"/>
        <v>2716.0099999999984</v>
      </c>
      <c r="O23" s="21">
        <f t="shared" si="1"/>
        <v>0.9123585027428203</v>
      </c>
      <c r="P23" s="22" t="s">
        <v>179</v>
      </c>
    </row>
    <row r="24" spans="1:16" s="23" customFormat="1" ht="11.25" outlineLevel="3">
      <c r="A24" s="28" t="s">
        <v>14</v>
      </c>
      <c r="B24" s="20">
        <v>20226</v>
      </c>
      <c r="C24" s="20">
        <v>20226</v>
      </c>
      <c r="D24" s="20">
        <v>1540</v>
      </c>
      <c r="E24" s="20">
        <v>30990</v>
      </c>
      <c r="F24" s="20">
        <v>30990</v>
      </c>
      <c r="G24" s="20">
        <v>10897</v>
      </c>
      <c r="H24" s="20">
        <v>30990</v>
      </c>
      <c r="I24" s="20">
        <v>10897.81</v>
      </c>
      <c r="J24" s="27"/>
      <c r="K24" s="27"/>
      <c r="L24" s="20"/>
      <c r="M24" s="20">
        <v>100.01</v>
      </c>
      <c r="N24" s="20">
        <f t="shared" si="0"/>
        <v>30990</v>
      </c>
      <c r="O24" s="21">
        <f t="shared" si="1"/>
        <v>0</v>
      </c>
      <c r="P24" s="22"/>
    </row>
    <row r="25" spans="1:16" s="23" customFormat="1" ht="11.25" customHeight="1" outlineLevel="2">
      <c r="A25" s="26" t="s">
        <v>23</v>
      </c>
      <c r="B25" s="20">
        <v>95430</v>
      </c>
      <c r="C25" s="20">
        <v>95430</v>
      </c>
      <c r="D25" s="27"/>
      <c r="E25" s="20">
        <v>387700</v>
      </c>
      <c r="F25" s="20">
        <v>387700</v>
      </c>
      <c r="G25" s="27"/>
      <c r="H25" s="20">
        <v>387694.96</v>
      </c>
      <c r="I25" s="20">
        <v>134819.98</v>
      </c>
      <c r="J25" s="25">
        <v>5.04</v>
      </c>
      <c r="K25" s="25">
        <v>5.04</v>
      </c>
      <c r="L25" s="20">
        <v>387694.96</v>
      </c>
      <c r="M25" s="20"/>
      <c r="N25" s="20">
        <f t="shared" si="0"/>
        <v>5.039999999979045</v>
      </c>
      <c r="O25" s="21">
        <f t="shared" si="1"/>
        <v>0.9999870002579314</v>
      </c>
      <c r="P25" s="22" t="s">
        <v>182</v>
      </c>
    </row>
    <row r="26" spans="1:16" s="23" customFormat="1" ht="11.25" customHeight="1" outlineLevel="3">
      <c r="A26" s="28" t="s">
        <v>14</v>
      </c>
      <c r="B26" s="20">
        <v>95430</v>
      </c>
      <c r="C26" s="20">
        <v>95430</v>
      </c>
      <c r="D26" s="27"/>
      <c r="E26" s="20">
        <v>387700</v>
      </c>
      <c r="F26" s="20">
        <v>387700</v>
      </c>
      <c r="G26" s="27"/>
      <c r="H26" s="20">
        <v>387694.96</v>
      </c>
      <c r="I26" s="20">
        <v>134819.98</v>
      </c>
      <c r="J26" s="25">
        <v>5.04</v>
      </c>
      <c r="K26" s="25">
        <v>5.04</v>
      </c>
      <c r="L26" s="20"/>
      <c r="M26" s="20"/>
      <c r="N26" s="20">
        <f t="shared" si="0"/>
        <v>387700</v>
      </c>
      <c r="O26" s="21">
        <f t="shared" si="1"/>
        <v>0</v>
      </c>
      <c r="P26" s="22"/>
    </row>
    <row r="27" spans="1:16" s="23" customFormat="1" ht="11.25" customHeight="1" outlineLevel="2">
      <c r="A27" s="26" t="s">
        <v>24</v>
      </c>
      <c r="B27" s="20">
        <v>124770</v>
      </c>
      <c r="C27" s="20">
        <v>124770</v>
      </c>
      <c r="D27" s="27"/>
      <c r="E27" s="27"/>
      <c r="F27" s="27"/>
      <c r="G27" s="27"/>
      <c r="H27" s="27"/>
      <c r="I27" s="27"/>
      <c r="J27" s="27"/>
      <c r="K27" s="27"/>
      <c r="L27" s="20"/>
      <c r="M27" s="20"/>
      <c r="N27" s="20">
        <f t="shared" si="0"/>
        <v>0</v>
      </c>
      <c r="O27" s="21">
        <v>0</v>
      </c>
      <c r="P27" s="22"/>
    </row>
    <row r="28" spans="1:16" ht="11.25" customHeight="1" outlineLevel="3">
      <c r="A28" s="30" t="s">
        <v>14</v>
      </c>
      <c r="B28" s="31">
        <v>124770</v>
      </c>
      <c r="C28" s="31">
        <v>124770</v>
      </c>
      <c r="D28" s="32"/>
      <c r="E28" s="32"/>
      <c r="F28" s="32"/>
      <c r="G28" s="32"/>
      <c r="H28" s="32"/>
      <c r="I28" s="32"/>
      <c r="J28" s="32"/>
      <c r="K28" s="32"/>
      <c r="L28" s="31"/>
      <c r="M28" s="31"/>
      <c r="N28" s="31"/>
      <c r="O28" s="21">
        <v>0</v>
      </c>
      <c r="P28" s="34"/>
    </row>
    <row r="29" spans="1:16" s="23" customFormat="1" ht="24" customHeight="1" outlineLevel="1">
      <c r="A29" s="24" t="s">
        <v>148</v>
      </c>
      <c r="B29" s="20">
        <v>25491332</v>
      </c>
      <c r="C29" s="20">
        <v>25491332</v>
      </c>
      <c r="D29" s="20">
        <v>100000</v>
      </c>
      <c r="E29" s="20">
        <v>76394100.64</v>
      </c>
      <c r="F29" s="20">
        <v>76394100.64</v>
      </c>
      <c r="G29" s="20">
        <v>5540792.44</v>
      </c>
      <c r="H29" s="20">
        <v>76360343.62</v>
      </c>
      <c r="I29" s="20">
        <v>26992728.54</v>
      </c>
      <c r="J29" s="20">
        <v>33757.02</v>
      </c>
      <c r="K29" s="20">
        <v>33757.02</v>
      </c>
      <c r="L29" s="20">
        <f>L30+L38+L41+L44</f>
        <v>74038379.37</v>
      </c>
      <c r="M29" s="20">
        <f>M30+M38+M41+M44</f>
        <v>947.3599999999999</v>
      </c>
      <c r="N29" s="20">
        <f>E29-L29</f>
        <v>2355721.269999996</v>
      </c>
      <c r="O29" s="21">
        <f t="shared" si="1"/>
        <v>0.9691635708743911</v>
      </c>
      <c r="P29" s="22"/>
    </row>
    <row r="30" spans="1:18" s="23" customFormat="1" ht="11.25" customHeight="1" outlineLevel="2">
      <c r="A30" s="26" t="s">
        <v>17</v>
      </c>
      <c r="B30" s="20">
        <v>16611332</v>
      </c>
      <c r="C30" s="20">
        <v>16611332</v>
      </c>
      <c r="D30" s="20">
        <v>100000</v>
      </c>
      <c r="E30" s="20">
        <v>53394992.64</v>
      </c>
      <c r="F30" s="20">
        <v>53394992.64</v>
      </c>
      <c r="G30" s="20">
        <v>5475792.44</v>
      </c>
      <c r="H30" s="20">
        <v>53390919</v>
      </c>
      <c r="I30" s="20">
        <v>23047499.2</v>
      </c>
      <c r="J30" s="20">
        <v>4073.64</v>
      </c>
      <c r="K30" s="20">
        <v>4073.64</v>
      </c>
      <c r="L30" s="20">
        <f>SUM(L31:L37)</f>
        <v>52943820.400000006</v>
      </c>
      <c r="M30" s="20">
        <f>SUM(M31:M37)</f>
        <v>847.3599999999999</v>
      </c>
      <c r="N30" s="20">
        <f aca="true" t="shared" si="2" ref="N30:N93">E30-L30</f>
        <v>451172.23999999464</v>
      </c>
      <c r="O30" s="21">
        <f t="shared" si="1"/>
        <v>0.9915502893119231</v>
      </c>
      <c r="P30" s="22"/>
      <c r="R30" s="35"/>
    </row>
    <row r="31" spans="1:16" s="23" customFormat="1" ht="11.25" customHeight="1" outlineLevel="3">
      <c r="A31" s="28" t="s">
        <v>25</v>
      </c>
      <c r="B31" s="20">
        <v>12908615</v>
      </c>
      <c r="C31" s="20">
        <v>12908615</v>
      </c>
      <c r="D31" s="27"/>
      <c r="E31" s="20">
        <v>24147171.44</v>
      </c>
      <c r="F31" s="20">
        <v>24147171.44</v>
      </c>
      <c r="G31" s="20">
        <v>2938510.44</v>
      </c>
      <c r="H31" s="20">
        <v>24147171.44</v>
      </c>
      <c r="I31" s="20">
        <v>3476990.76</v>
      </c>
      <c r="J31" s="27"/>
      <c r="K31" s="27"/>
      <c r="L31" s="20">
        <f>24862084.79-622309.77-92603.58</f>
        <v>24147171.44</v>
      </c>
      <c r="M31" s="20">
        <v>118.32</v>
      </c>
      <c r="N31" s="20">
        <f t="shared" si="2"/>
        <v>0</v>
      </c>
      <c r="O31" s="21">
        <f t="shared" si="1"/>
        <v>1</v>
      </c>
      <c r="P31" s="22"/>
    </row>
    <row r="32" spans="1:16" s="23" customFormat="1" ht="21.75" customHeight="1" outlineLevel="3">
      <c r="A32" s="28" t="s">
        <v>26</v>
      </c>
      <c r="B32" s="20">
        <v>1144000</v>
      </c>
      <c r="C32" s="20">
        <v>1144000</v>
      </c>
      <c r="D32" s="27"/>
      <c r="E32" s="20">
        <v>790000</v>
      </c>
      <c r="F32" s="20">
        <v>790000</v>
      </c>
      <c r="G32" s="27"/>
      <c r="H32" s="20">
        <v>790000</v>
      </c>
      <c r="I32" s="20">
        <v>250952.37</v>
      </c>
      <c r="J32" s="27"/>
      <c r="K32" s="27"/>
      <c r="L32" s="20">
        <v>770716.86</v>
      </c>
      <c r="M32" s="20"/>
      <c r="N32" s="20">
        <f t="shared" si="2"/>
        <v>19283.140000000014</v>
      </c>
      <c r="O32" s="21">
        <f t="shared" si="1"/>
        <v>0.9755909620253165</v>
      </c>
      <c r="P32" s="22" t="s">
        <v>201</v>
      </c>
    </row>
    <row r="33" spans="1:16" s="23" customFormat="1" ht="21.75" customHeight="1" outlineLevel="3">
      <c r="A33" s="28" t="s">
        <v>27</v>
      </c>
      <c r="B33" s="27"/>
      <c r="C33" s="27"/>
      <c r="D33" s="27"/>
      <c r="E33" s="20">
        <v>25204409</v>
      </c>
      <c r="F33" s="20">
        <v>25204409</v>
      </c>
      <c r="G33" s="20">
        <v>2537282</v>
      </c>
      <c r="H33" s="20">
        <v>25204409</v>
      </c>
      <c r="I33" s="20">
        <v>18497763.24</v>
      </c>
      <c r="J33" s="27"/>
      <c r="K33" s="27"/>
      <c r="L33" s="20">
        <f>24899931.04+92603.58</f>
        <v>24992534.619999997</v>
      </c>
      <c r="M33" s="20">
        <v>729.04</v>
      </c>
      <c r="N33" s="20">
        <f t="shared" si="2"/>
        <v>211874.38000000268</v>
      </c>
      <c r="O33" s="21">
        <f t="shared" si="1"/>
        <v>0.9915937572668336</v>
      </c>
      <c r="P33" s="22" t="s">
        <v>222</v>
      </c>
    </row>
    <row r="34" spans="1:16" s="23" customFormat="1" ht="67.5" customHeight="1" outlineLevel="3">
      <c r="A34" s="28" t="s">
        <v>28</v>
      </c>
      <c r="B34" s="20">
        <v>1133117</v>
      </c>
      <c r="C34" s="20">
        <v>1133117</v>
      </c>
      <c r="D34" s="20">
        <v>100000</v>
      </c>
      <c r="E34" s="20">
        <v>804117</v>
      </c>
      <c r="F34" s="20">
        <v>804117</v>
      </c>
      <c r="G34" s="27"/>
      <c r="H34" s="20">
        <v>804117</v>
      </c>
      <c r="I34" s="20">
        <v>248542.96</v>
      </c>
      <c r="J34" s="27"/>
      <c r="K34" s="27"/>
      <c r="L34" s="20">
        <v>595572.68</v>
      </c>
      <c r="M34" s="20"/>
      <c r="N34" s="20">
        <f t="shared" si="2"/>
        <v>208544.31999999995</v>
      </c>
      <c r="O34" s="21">
        <f t="shared" si="1"/>
        <v>0.7406542580246408</v>
      </c>
      <c r="P34" s="22" t="s">
        <v>202</v>
      </c>
    </row>
    <row r="35" spans="1:16" s="23" customFormat="1" ht="11.25" customHeight="1" outlineLevel="3">
      <c r="A35" s="28" t="s">
        <v>29</v>
      </c>
      <c r="B35" s="20">
        <v>725760</v>
      </c>
      <c r="C35" s="20">
        <v>725760</v>
      </c>
      <c r="D35" s="27"/>
      <c r="E35" s="20">
        <v>314760</v>
      </c>
      <c r="F35" s="20">
        <v>314760</v>
      </c>
      <c r="G35" s="27"/>
      <c r="H35" s="20">
        <v>314760</v>
      </c>
      <c r="I35" s="25">
        <v>959.01</v>
      </c>
      <c r="J35" s="27"/>
      <c r="K35" s="27"/>
      <c r="L35" s="20">
        <v>314454.56</v>
      </c>
      <c r="M35" s="20"/>
      <c r="N35" s="20">
        <f t="shared" si="2"/>
        <v>305.4400000000023</v>
      </c>
      <c r="O35" s="21">
        <f t="shared" si="1"/>
        <v>0.9990296098614817</v>
      </c>
      <c r="P35" s="22" t="s">
        <v>203</v>
      </c>
    </row>
    <row r="36" spans="1:16" s="23" customFormat="1" ht="39.75" customHeight="1" outlineLevel="3">
      <c r="A36" s="28" t="s">
        <v>30</v>
      </c>
      <c r="B36" s="27"/>
      <c r="C36" s="27"/>
      <c r="D36" s="27"/>
      <c r="E36" s="20">
        <v>1434695.2</v>
      </c>
      <c r="F36" s="20">
        <v>1434695.2</v>
      </c>
      <c r="G36" s="27"/>
      <c r="H36" s="20">
        <v>1430621.56</v>
      </c>
      <c r="I36" s="20">
        <v>494381.14</v>
      </c>
      <c r="J36" s="20">
        <v>4073.64</v>
      </c>
      <c r="K36" s="20">
        <v>4073.64</v>
      </c>
      <c r="L36" s="20">
        <v>1426550.64</v>
      </c>
      <c r="M36" s="20"/>
      <c r="N36" s="20">
        <f t="shared" si="2"/>
        <v>8144.560000000056</v>
      </c>
      <c r="O36" s="21">
        <f t="shared" si="1"/>
        <v>0.9943231426438173</v>
      </c>
      <c r="P36" s="22" t="s">
        <v>201</v>
      </c>
    </row>
    <row r="37" spans="1:16" s="23" customFormat="1" ht="25.5" customHeight="1" outlineLevel="3">
      <c r="A37" s="28" t="s">
        <v>31</v>
      </c>
      <c r="B37" s="20">
        <v>699840</v>
      </c>
      <c r="C37" s="20">
        <v>699840</v>
      </c>
      <c r="D37" s="27"/>
      <c r="E37" s="20">
        <v>699840</v>
      </c>
      <c r="F37" s="20">
        <v>699840</v>
      </c>
      <c r="G37" s="27"/>
      <c r="H37" s="20">
        <v>699840</v>
      </c>
      <c r="I37" s="20">
        <v>77909.72</v>
      </c>
      <c r="J37" s="27"/>
      <c r="K37" s="27"/>
      <c r="L37" s="20">
        <v>696819.6</v>
      </c>
      <c r="M37" s="20"/>
      <c r="N37" s="20">
        <f t="shared" si="2"/>
        <v>3020.4000000000233</v>
      </c>
      <c r="O37" s="21">
        <f t="shared" si="1"/>
        <v>0.9956841563786007</v>
      </c>
      <c r="P37" s="22" t="s">
        <v>204</v>
      </c>
    </row>
    <row r="38" spans="1:16" s="23" customFormat="1" ht="11.25" customHeight="1" outlineLevel="2">
      <c r="A38" s="26" t="s">
        <v>32</v>
      </c>
      <c r="B38" s="20">
        <v>8880000</v>
      </c>
      <c r="C38" s="20">
        <v>8880000</v>
      </c>
      <c r="D38" s="27"/>
      <c r="E38" s="20">
        <v>11990888</v>
      </c>
      <c r="F38" s="20">
        <v>11990888</v>
      </c>
      <c r="G38" s="27"/>
      <c r="H38" s="20">
        <v>11990884.62</v>
      </c>
      <c r="I38" s="20">
        <v>363718.34</v>
      </c>
      <c r="J38" s="25">
        <v>3.38</v>
      </c>
      <c r="K38" s="25">
        <v>3.38</v>
      </c>
      <c r="L38" s="20">
        <f>SUM(L39:L40)</f>
        <v>11990884.620000001</v>
      </c>
      <c r="M38" s="20"/>
      <c r="N38" s="20">
        <f t="shared" si="2"/>
        <v>3.3799999989569187</v>
      </c>
      <c r="O38" s="21">
        <f t="shared" si="1"/>
        <v>0.999999718119292</v>
      </c>
      <c r="P38" s="22"/>
    </row>
    <row r="39" spans="1:16" s="23" customFormat="1" ht="36.75" customHeight="1" outlineLevel="3">
      <c r="A39" s="28" t="s">
        <v>30</v>
      </c>
      <c r="B39" s="27"/>
      <c r="C39" s="27"/>
      <c r="D39" s="27"/>
      <c r="E39" s="20">
        <v>1690888</v>
      </c>
      <c r="F39" s="20">
        <v>1690888</v>
      </c>
      <c r="G39" s="27"/>
      <c r="H39" s="20">
        <v>1690884.62</v>
      </c>
      <c r="I39" s="20">
        <v>329601.58</v>
      </c>
      <c r="J39" s="25">
        <v>3.38</v>
      </c>
      <c r="K39" s="25">
        <v>3.38</v>
      </c>
      <c r="L39" s="20">
        <v>1690884.62</v>
      </c>
      <c r="M39" s="20"/>
      <c r="N39" s="20">
        <f t="shared" si="2"/>
        <v>3.3799999998882413</v>
      </c>
      <c r="O39" s="21">
        <f t="shared" si="1"/>
        <v>0.9999980010503358</v>
      </c>
      <c r="P39" s="22" t="s">
        <v>201</v>
      </c>
    </row>
    <row r="40" spans="1:16" s="23" customFormat="1" ht="21.75" customHeight="1" outlineLevel="3">
      <c r="A40" s="28" t="s">
        <v>33</v>
      </c>
      <c r="B40" s="20">
        <v>8880000</v>
      </c>
      <c r="C40" s="20">
        <v>8880000</v>
      </c>
      <c r="D40" s="27"/>
      <c r="E40" s="20">
        <v>10300000</v>
      </c>
      <c r="F40" s="20">
        <v>10300000</v>
      </c>
      <c r="G40" s="27"/>
      <c r="H40" s="20">
        <v>10300000</v>
      </c>
      <c r="I40" s="20">
        <v>34116.76</v>
      </c>
      <c r="J40" s="27"/>
      <c r="K40" s="27"/>
      <c r="L40" s="20">
        <v>10300000</v>
      </c>
      <c r="M40" s="20"/>
      <c r="N40" s="20">
        <f t="shared" si="2"/>
        <v>0</v>
      </c>
      <c r="O40" s="21">
        <f t="shared" si="1"/>
        <v>1</v>
      </c>
      <c r="P40" s="22"/>
    </row>
    <row r="41" spans="1:16" s="23" customFormat="1" ht="11.25" customHeight="1" outlineLevel="2">
      <c r="A41" s="26" t="s">
        <v>23</v>
      </c>
      <c r="B41" s="27"/>
      <c r="C41" s="27"/>
      <c r="D41" s="27"/>
      <c r="E41" s="20">
        <v>160000</v>
      </c>
      <c r="F41" s="20">
        <v>160000</v>
      </c>
      <c r="G41" s="20">
        <v>65000</v>
      </c>
      <c r="H41" s="20">
        <v>130320</v>
      </c>
      <c r="I41" s="20">
        <v>65000</v>
      </c>
      <c r="J41" s="20">
        <v>29680</v>
      </c>
      <c r="K41" s="20">
        <v>29680</v>
      </c>
      <c r="L41" s="20">
        <f>L42+L43</f>
        <v>130146.57</v>
      </c>
      <c r="M41" s="20">
        <v>100</v>
      </c>
      <c r="N41" s="20">
        <f t="shared" si="2"/>
        <v>29853.429999999993</v>
      </c>
      <c r="O41" s="21">
        <f t="shared" si="1"/>
        <v>0.8134160625000001</v>
      </c>
      <c r="P41" s="22"/>
    </row>
    <row r="42" spans="1:16" s="23" customFormat="1" ht="21.75" customHeight="1" outlineLevel="3">
      <c r="A42" s="28" t="s">
        <v>34</v>
      </c>
      <c r="B42" s="27"/>
      <c r="C42" s="27"/>
      <c r="D42" s="27"/>
      <c r="E42" s="20">
        <v>65000</v>
      </c>
      <c r="F42" s="20">
        <v>65000</v>
      </c>
      <c r="G42" s="27"/>
      <c r="H42" s="20">
        <v>35320</v>
      </c>
      <c r="I42" s="27"/>
      <c r="J42" s="20">
        <v>29680</v>
      </c>
      <c r="K42" s="20">
        <v>29680</v>
      </c>
      <c r="L42" s="20">
        <v>35320</v>
      </c>
      <c r="M42" s="20"/>
      <c r="N42" s="20">
        <f t="shared" si="2"/>
        <v>29680</v>
      </c>
      <c r="O42" s="21">
        <f t="shared" si="1"/>
        <v>0.5433846153846154</v>
      </c>
      <c r="P42" s="22" t="s">
        <v>223</v>
      </c>
    </row>
    <row r="43" spans="1:16" s="23" customFormat="1" ht="23.25" customHeight="1" outlineLevel="3">
      <c r="A43" s="28" t="s">
        <v>30</v>
      </c>
      <c r="B43" s="27"/>
      <c r="C43" s="27"/>
      <c r="D43" s="27"/>
      <c r="E43" s="20">
        <v>95000</v>
      </c>
      <c r="F43" s="20">
        <v>95000</v>
      </c>
      <c r="G43" s="20">
        <v>65000</v>
      </c>
      <c r="H43" s="20">
        <v>95000</v>
      </c>
      <c r="I43" s="20">
        <v>65000</v>
      </c>
      <c r="J43" s="27"/>
      <c r="K43" s="27"/>
      <c r="L43" s="20">
        <v>94826.57</v>
      </c>
      <c r="M43" s="20">
        <v>100</v>
      </c>
      <c r="N43" s="20">
        <f t="shared" si="2"/>
        <v>173.42999999999302</v>
      </c>
      <c r="O43" s="21">
        <f t="shared" si="1"/>
        <v>0.9981744210526317</v>
      </c>
      <c r="P43" s="22" t="s">
        <v>201</v>
      </c>
    </row>
    <row r="44" spans="1:16" s="23" customFormat="1" ht="11.25" customHeight="1" outlineLevel="2">
      <c r="A44" s="26" t="s">
        <v>24</v>
      </c>
      <c r="B44" s="27"/>
      <c r="C44" s="27"/>
      <c r="D44" s="27"/>
      <c r="E44" s="20">
        <v>10848220</v>
      </c>
      <c r="F44" s="20">
        <v>10848220</v>
      </c>
      <c r="G44" s="27"/>
      <c r="H44" s="20">
        <v>10848220</v>
      </c>
      <c r="I44" s="20">
        <v>3516511</v>
      </c>
      <c r="J44" s="27"/>
      <c r="K44" s="27"/>
      <c r="L44" s="20">
        <f>L45</f>
        <v>8973527.78</v>
      </c>
      <c r="M44" s="20"/>
      <c r="N44" s="20">
        <f t="shared" si="2"/>
        <v>1874692.2200000007</v>
      </c>
      <c r="O44" s="21">
        <f t="shared" si="1"/>
        <v>0.8271889563449119</v>
      </c>
      <c r="P44" s="22"/>
    </row>
    <row r="45" spans="1:16" s="23" customFormat="1" ht="107.25" customHeight="1" outlineLevel="3">
      <c r="A45" s="28" t="s">
        <v>27</v>
      </c>
      <c r="B45" s="27"/>
      <c r="C45" s="27"/>
      <c r="D45" s="27"/>
      <c r="E45" s="20">
        <v>10848220</v>
      </c>
      <c r="F45" s="20">
        <v>10848220</v>
      </c>
      <c r="G45" s="27"/>
      <c r="H45" s="20">
        <v>10848220</v>
      </c>
      <c r="I45" s="20">
        <v>3516511</v>
      </c>
      <c r="J45" s="27"/>
      <c r="K45" s="27"/>
      <c r="L45" s="20">
        <v>8973527.78</v>
      </c>
      <c r="M45" s="20"/>
      <c r="N45" s="20">
        <f t="shared" si="2"/>
        <v>1874692.2200000007</v>
      </c>
      <c r="O45" s="21">
        <f t="shared" si="1"/>
        <v>0.8271889563449119</v>
      </c>
      <c r="P45" s="22" t="s">
        <v>224</v>
      </c>
    </row>
    <row r="46" spans="1:16" s="23" customFormat="1" ht="11.25" customHeight="1" outlineLevel="1">
      <c r="A46" s="24" t="s">
        <v>149</v>
      </c>
      <c r="B46" s="20">
        <v>71797822</v>
      </c>
      <c r="C46" s="20">
        <v>71797822</v>
      </c>
      <c r="D46" s="20">
        <v>245000</v>
      </c>
      <c r="E46" s="20">
        <v>88239217</v>
      </c>
      <c r="F46" s="20">
        <v>88239217</v>
      </c>
      <c r="G46" s="20">
        <v>5334960.04</v>
      </c>
      <c r="H46" s="20">
        <v>80430220.15</v>
      </c>
      <c r="I46" s="20">
        <v>25052407.63</v>
      </c>
      <c r="J46" s="20">
        <v>7808996.85</v>
      </c>
      <c r="K46" s="20">
        <v>7808996.85</v>
      </c>
      <c r="L46" s="20">
        <f>L47</f>
        <v>78245049.8</v>
      </c>
      <c r="M46" s="20">
        <v>469.59</v>
      </c>
      <c r="N46" s="20">
        <f t="shared" si="2"/>
        <v>9994167.200000003</v>
      </c>
      <c r="O46" s="21">
        <f t="shared" si="1"/>
        <v>0.8867378072949128</v>
      </c>
      <c r="P46" s="22"/>
    </row>
    <row r="47" spans="1:16" s="23" customFormat="1" ht="11.25" customHeight="1" outlineLevel="2">
      <c r="A47" s="26" t="s">
        <v>35</v>
      </c>
      <c r="B47" s="20">
        <v>71797822</v>
      </c>
      <c r="C47" s="20">
        <v>71797822</v>
      </c>
      <c r="D47" s="20">
        <v>245000</v>
      </c>
      <c r="E47" s="20">
        <v>88239217</v>
      </c>
      <c r="F47" s="20">
        <v>88239217</v>
      </c>
      <c r="G47" s="20">
        <v>5334960.04</v>
      </c>
      <c r="H47" s="20">
        <v>80430220.15</v>
      </c>
      <c r="I47" s="20">
        <v>25052407.63</v>
      </c>
      <c r="J47" s="20">
        <v>7808996.85</v>
      </c>
      <c r="K47" s="20">
        <v>7808996.85</v>
      </c>
      <c r="L47" s="20">
        <f>SUM(L48:L54)</f>
        <v>78245049.8</v>
      </c>
      <c r="M47" s="20">
        <v>469.59</v>
      </c>
      <c r="N47" s="20">
        <f t="shared" si="2"/>
        <v>9994167.200000003</v>
      </c>
      <c r="O47" s="21">
        <f t="shared" si="1"/>
        <v>0.8867378072949128</v>
      </c>
      <c r="P47" s="22"/>
    </row>
    <row r="48" spans="1:16" s="23" customFormat="1" ht="96.75" customHeight="1" outlineLevel="3">
      <c r="A48" s="28" t="s">
        <v>36</v>
      </c>
      <c r="B48" s="20">
        <v>420000</v>
      </c>
      <c r="C48" s="20">
        <v>420000</v>
      </c>
      <c r="D48" s="27"/>
      <c r="E48" s="20">
        <v>3420000</v>
      </c>
      <c r="F48" s="20">
        <v>3420000</v>
      </c>
      <c r="G48" s="27"/>
      <c r="H48" s="20">
        <v>2274042.56</v>
      </c>
      <c r="I48" s="20">
        <v>216089.69</v>
      </c>
      <c r="J48" s="20">
        <v>1145957.44</v>
      </c>
      <c r="K48" s="20">
        <v>1145957.44</v>
      </c>
      <c r="L48" s="20">
        <v>1392367.25</v>
      </c>
      <c r="M48" s="20"/>
      <c r="N48" s="20">
        <f t="shared" si="2"/>
        <v>2027632.75</v>
      </c>
      <c r="O48" s="21">
        <f t="shared" si="1"/>
        <v>0.40712492690058477</v>
      </c>
      <c r="P48" s="22" t="s">
        <v>214</v>
      </c>
    </row>
    <row r="49" spans="1:16" s="23" customFormat="1" ht="11.25" customHeight="1" outlineLevel="3">
      <c r="A49" s="28" t="s">
        <v>37</v>
      </c>
      <c r="B49" s="20">
        <v>3000000</v>
      </c>
      <c r="C49" s="20">
        <v>3000000</v>
      </c>
      <c r="D49" s="27"/>
      <c r="E49" s="20">
        <v>6000000</v>
      </c>
      <c r="F49" s="20">
        <v>6000000</v>
      </c>
      <c r="G49" s="27"/>
      <c r="H49" s="20">
        <v>6000000</v>
      </c>
      <c r="I49" s="20">
        <v>33346.28</v>
      </c>
      <c r="J49" s="27"/>
      <c r="K49" s="27"/>
      <c r="L49" s="20">
        <v>6000000</v>
      </c>
      <c r="M49" s="20"/>
      <c r="N49" s="20">
        <f t="shared" si="2"/>
        <v>0</v>
      </c>
      <c r="O49" s="21">
        <f t="shared" si="1"/>
        <v>1</v>
      </c>
      <c r="P49" s="22"/>
    </row>
    <row r="50" spans="1:16" s="23" customFormat="1" ht="11.25" customHeight="1" outlineLevel="3">
      <c r="A50" s="28" t="s">
        <v>38</v>
      </c>
      <c r="B50" s="20">
        <v>47461639</v>
      </c>
      <c r="C50" s="20">
        <v>47461639</v>
      </c>
      <c r="D50" s="27"/>
      <c r="E50" s="20">
        <v>52537423</v>
      </c>
      <c r="F50" s="20">
        <v>52537423</v>
      </c>
      <c r="G50" s="20">
        <v>137998.04</v>
      </c>
      <c r="H50" s="20">
        <v>52537422.89</v>
      </c>
      <c r="I50" s="20">
        <v>18260432.81</v>
      </c>
      <c r="J50" s="25">
        <v>0.11</v>
      </c>
      <c r="K50" s="25">
        <v>0.11</v>
      </c>
      <c r="L50" s="20">
        <v>52537423</v>
      </c>
      <c r="M50" s="20">
        <v>13232.39</v>
      </c>
      <c r="N50" s="20">
        <f t="shared" si="2"/>
        <v>0</v>
      </c>
      <c r="O50" s="21">
        <f t="shared" si="1"/>
        <v>1</v>
      </c>
      <c r="P50" s="22"/>
    </row>
    <row r="51" spans="1:16" s="23" customFormat="1" ht="70.5" customHeight="1" outlineLevel="3">
      <c r="A51" s="28" t="s">
        <v>39</v>
      </c>
      <c r="B51" s="20">
        <v>9000000</v>
      </c>
      <c r="C51" s="20">
        <v>9000000</v>
      </c>
      <c r="D51" s="27"/>
      <c r="E51" s="20">
        <v>4235000</v>
      </c>
      <c r="F51" s="20">
        <v>4235000</v>
      </c>
      <c r="G51" s="27"/>
      <c r="H51" s="20">
        <v>3555000</v>
      </c>
      <c r="I51" s="20">
        <v>1795141.38</v>
      </c>
      <c r="J51" s="20">
        <v>680000</v>
      </c>
      <c r="K51" s="20">
        <v>680000</v>
      </c>
      <c r="L51" s="20">
        <v>3122385.56</v>
      </c>
      <c r="M51" s="20"/>
      <c r="N51" s="20">
        <f t="shared" si="2"/>
        <v>1112614.44</v>
      </c>
      <c r="O51" s="21">
        <f t="shared" si="1"/>
        <v>0.7372811239669421</v>
      </c>
      <c r="P51" s="22" t="s">
        <v>215</v>
      </c>
    </row>
    <row r="52" spans="1:16" s="23" customFormat="1" ht="98.25" customHeight="1" outlineLevel="3">
      <c r="A52" s="28" t="s">
        <v>40</v>
      </c>
      <c r="B52" s="20">
        <v>11916183</v>
      </c>
      <c r="C52" s="20">
        <v>11916183</v>
      </c>
      <c r="D52" s="20">
        <v>245000</v>
      </c>
      <c r="E52" s="20">
        <v>6370093</v>
      </c>
      <c r="F52" s="20">
        <v>6370093</v>
      </c>
      <c r="G52" s="20">
        <v>245000</v>
      </c>
      <c r="H52" s="20">
        <v>5710638.18</v>
      </c>
      <c r="I52" s="20">
        <v>308318.34</v>
      </c>
      <c r="J52" s="20">
        <v>659454.82</v>
      </c>
      <c r="K52" s="20">
        <v>659454.82</v>
      </c>
      <c r="L52" s="20">
        <v>4839757.47</v>
      </c>
      <c r="M52" s="20">
        <v>125.84</v>
      </c>
      <c r="N52" s="20">
        <f t="shared" si="2"/>
        <v>1530335.5300000003</v>
      </c>
      <c r="O52" s="21">
        <f t="shared" si="1"/>
        <v>0.7597624508778756</v>
      </c>
      <c r="P52" s="22" t="s">
        <v>216</v>
      </c>
    </row>
    <row r="53" spans="1:16" s="23" customFormat="1" ht="11.25" customHeight="1" outlineLevel="3">
      <c r="A53" s="28" t="s">
        <v>30</v>
      </c>
      <c r="B53" s="27"/>
      <c r="C53" s="27"/>
      <c r="D53" s="27"/>
      <c r="E53" s="20">
        <v>30000</v>
      </c>
      <c r="F53" s="20">
        <v>30000</v>
      </c>
      <c r="G53" s="27"/>
      <c r="H53" s="20">
        <v>30000</v>
      </c>
      <c r="I53" s="20">
        <v>30000</v>
      </c>
      <c r="J53" s="27"/>
      <c r="K53" s="27"/>
      <c r="L53" s="20">
        <v>30000</v>
      </c>
      <c r="M53" s="20"/>
      <c r="N53" s="20">
        <f t="shared" si="2"/>
        <v>0</v>
      </c>
      <c r="O53" s="21">
        <f t="shared" si="1"/>
        <v>1</v>
      </c>
      <c r="P53" s="22"/>
    </row>
    <row r="54" spans="1:16" s="23" customFormat="1" ht="134.25" customHeight="1" outlineLevel="3">
      <c r="A54" s="28" t="s">
        <v>41</v>
      </c>
      <c r="B54" s="27"/>
      <c r="C54" s="27"/>
      <c r="D54" s="27"/>
      <c r="E54" s="20">
        <v>15646701</v>
      </c>
      <c r="F54" s="20">
        <v>15646701</v>
      </c>
      <c r="G54" s="20">
        <v>4951962</v>
      </c>
      <c r="H54" s="20">
        <v>10323116.52</v>
      </c>
      <c r="I54" s="20">
        <v>4409079.13</v>
      </c>
      <c r="J54" s="20">
        <v>5323584.48</v>
      </c>
      <c r="K54" s="20">
        <v>5323584.48</v>
      </c>
      <c r="L54" s="20">
        <v>10323116.52</v>
      </c>
      <c r="M54" s="20">
        <v>89.04</v>
      </c>
      <c r="N54" s="20">
        <f t="shared" si="2"/>
        <v>5323584.48</v>
      </c>
      <c r="O54" s="21">
        <f t="shared" si="1"/>
        <v>0.659763136011866</v>
      </c>
      <c r="P54" s="22" t="s">
        <v>217</v>
      </c>
    </row>
    <row r="55" spans="1:16" s="23" customFormat="1" ht="21.75" customHeight="1" outlineLevel="1" collapsed="1">
      <c r="A55" s="24" t="s">
        <v>150</v>
      </c>
      <c r="B55" s="20">
        <v>4362700</v>
      </c>
      <c r="C55" s="20">
        <v>4362700</v>
      </c>
      <c r="D55" s="27"/>
      <c r="E55" s="20">
        <f>E56+E58+E60+E62+E64+E66+E68+E70+E72+E74+E76+E78</f>
        <v>5062700</v>
      </c>
      <c r="F55" s="20">
        <v>4362700</v>
      </c>
      <c r="G55" s="27"/>
      <c r="H55" s="27"/>
      <c r="I55" s="27"/>
      <c r="J55" s="20">
        <v>4362700</v>
      </c>
      <c r="K55" s="20"/>
      <c r="L55" s="20">
        <f>SUM(L56:L78)</f>
        <v>3902394.96</v>
      </c>
      <c r="M55" s="20"/>
      <c r="N55" s="20">
        <f t="shared" si="2"/>
        <v>1160305.04</v>
      </c>
      <c r="O55" s="21">
        <f t="shared" si="1"/>
        <v>0.7708129970174018</v>
      </c>
      <c r="P55" s="22"/>
    </row>
    <row r="56" spans="1:16" s="40" customFormat="1" ht="11.25" customHeight="1" hidden="1" outlineLevel="2" collapsed="1">
      <c r="A56" s="36" t="s">
        <v>13</v>
      </c>
      <c r="B56" s="37">
        <v>2606290</v>
      </c>
      <c r="C56" s="37">
        <v>2606290</v>
      </c>
      <c r="D56" s="38"/>
      <c r="E56" s="37">
        <v>2606290</v>
      </c>
      <c r="F56" s="37">
        <v>2606290</v>
      </c>
      <c r="G56" s="38"/>
      <c r="H56" s="38"/>
      <c r="I56" s="38"/>
      <c r="J56" s="37">
        <v>2606290</v>
      </c>
      <c r="K56" s="37">
        <v>2606290</v>
      </c>
      <c r="L56" s="37">
        <v>2248663.79</v>
      </c>
      <c r="M56" s="37"/>
      <c r="N56" s="37">
        <f t="shared" si="2"/>
        <v>357626.20999999996</v>
      </c>
      <c r="O56" s="33">
        <f t="shared" si="1"/>
        <v>0.8627834162737071</v>
      </c>
      <c r="P56" s="39"/>
    </row>
    <row r="57" spans="1:16" s="40" customFormat="1" ht="21.75" customHeight="1" hidden="1" outlineLevel="3">
      <c r="A57" s="41" t="s">
        <v>42</v>
      </c>
      <c r="B57" s="37">
        <v>2606290</v>
      </c>
      <c r="C57" s="37">
        <v>2606290</v>
      </c>
      <c r="D57" s="38"/>
      <c r="E57" s="37">
        <v>2606290</v>
      </c>
      <c r="F57" s="37">
        <v>2606290</v>
      </c>
      <c r="G57" s="38"/>
      <c r="H57" s="38"/>
      <c r="I57" s="38"/>
      <c r="J57" s="37">
        <v>2606290</v>
      </c>
      <c r="K57" s="37">
        <v>2606290</v>
      </c>
      <c r="L57" s="37"/>
      <c r="M57" s="37"/>
      <c r="N57" s="37">
        <f t="shared" si="2"/>
        <v>2606290</v>
      </c>
      <c r="O57" s="33">
        <f t="shared" si="1"/>
        <v>0</v>
      </c>
      <c r="P57" s="39"/>
    </row>
    <row r="58" spans="1:16" s="40" customFormat="1" ht="11.25" customHeight="1" hidden="1" outlineLevel="2" collapsed="1">
      <c r="A58" s="36" t="s">
        <v>15</v>
      </c>
      <c r="B58" s="37">
        <v>562538</v>
      </c>
      <c r="C58" s="37">
        <v>562538</v>
      </c>
      <c r="D58" s="38"/>
      <c r="E58" s="37">
        <v>516038</v>
      </c>
      <c r="F58" s="37">
        <v>562538</v>
      </c>
      <c r="G58" s="38"/>
      <c r="H58" s="38"/>
      <c r="I58" s="38"/>
      <c r="J58" s="37">
        <v>562538</v>
      </c>
      <c r="K58" s="37">
        <v>562538</v>
      </c>
      <c r="L58" s="37">
        <v>475731.87</v>
      </c>
      <c r="M58" s="37"/>
      <c r="N58" s="37">
        <f t="shared" si="2"/>
        <v>40306.130000000005</v>
      </c>
      <c r="O58" s="33">
        <f t="shared" si="1"/>
        <v>0.9218930970199869</v>
      </c>
      <c r="P58" s="39"/>
    </row>
    <row r="59" spans="1:16" s="40" customFormat="1" ht="21.75" customHeight="1" hidden="1" outlineLevel="3">
      <c r="A59" s="41" t="s">
        <v>42</v>
      </c>
      <c r="B59" s="37">
        <v>562538</v>
      </c>
      <c r="C59" s="37">
        <v>562538</v>
      </c>
      <c r="D59" s="38"/>
      <c r="E59" s="37">
        <v>562538</v>
      </c>
      <c r="F59" s="37">
        <v>562538</v>
      </c>
      <c r="G59" s="38"/>
      <c r="H59" s="38"/>
      <c r="I59" s="38"/>
      <c r="J59" s="37">
        <v>562538</v>
      </c>
      <c r="K59" s="37">
        <v>562538</v>
      </c>
      <c r="L59" s="37"/>
      <c r="M59" s="37"/>
      <c r="N59" s="37">
        <f t="shared" si="2"/>
        <v>562538</v>
      </c>
      <c r="O59" s="33">
        <f t="shared" si="1"/>
        <v>0</v>
      </c>
      <c r="P59" s="39"/>
    </row>
    <row r="60" spans="1:16" s="40" customFormat="1" ht="11.25" customHeight="1" hidden="1" outlineLevel="2" collapsed="1">
      <c r="A60" s="36" t="s">
        <v>16</v>
      </c>
      <c r="B60" s="37">
        <v>424034</v>
      </c>
      <c r="C60" s="37">
        <v>424034</v>
      </c>
      <c r="D60" s="38"/>
      <c r="E60" s="37">
        <v>486034</v>
      </c>
      <c r="F60" s="37">
        <v>424034</v>
      </c>
      <c r="G60" s="38"/>
      <c r="H60" s="38"/>
      <c r="I60" s="38"/>
      <c r="J60" s="37">
        <v>424034</v>
      </c>
      <c r="K60" s="37">
        <v>424034</v>
      </c>
      <c r="L60" s="37">
        <v>287101.13</v>
      </c>
      <c r="M60" s="37"/>
      <c r="N60" s="37">
        <f t="shared" si="2"/>
        <v>198932.87</v>
      </c>
      <c r="O60" s="33">
        <f t="shared" si="1"/>
        <v>0.5907017410304629</v>
      </c>
      <c r="P60" s="39"/>
    </row>
    <row r="61" spans="1:16" s="40" customFormat="1" ht="21.75" customHeight="1" hidden="1" outlineLevel="3">
      <c r="A61" s="41" t="s">
        <v>42</v>
      </c>
      <c r="B61" s="37">
        <v>424034</v>
      </c>
      <c r="C61" s="37">
        <v>424034</v>
      </c>
      <c r="D61" s="38"/>
      <c r="E61" s="37">
        <v>424034</v>
      </c>
      <c r="F61" s="37">
        <v>424034</v>
      </c>
      <c r="G61" s="38"/>
      <c r="H61" s="38"/>
      <c r="I61" s="38"/>
      <c r="J61" s="37">
        <v>424034</v>
      </c>
      <c r="K61" s="37">
        <v>424034</v>
      </c>
      <c r="L61" s="37"/>
      <c r="M61" s="37"/>
      <c r="N61" s="37">
        <f t="shared" si="2"/>
        <v>424034</v>
      </c>
      <c r="O61" s="33">
        <f t="shared" si="1"/>
        <v>0</v>
      </c>
      <c r="P61" s="39"/>
    </row>
    <row r="62" spans="1:16" s="40" customFormat="1" ht="11.25" customHeight="1" hidden="1" outlineLevel="2" collapsed="1">
      <c r="A62" s="36" t="s">
        <v>17</v>
      </c>
      <c r="B62" s="37">
        <v>276319</v>
      </c>
      <c r="C62" s="37">
        <v>276319</v>
      </c>
      <c r="D62" s="38"/>
      <c r="E62" s="37">
        <v>457319</v>
      </c>
      <c r="F62" s="37">
        <v>276319</v>
      </c>
      <c r="G62" s="38"/>
      <c r="H62" s="38"/>
      <c r="I62" s="38"/>
      <c r="J62" s="37">
        <v>276319</v>
      </c>
      <c r="K62" s="37">
        <v>276319</v>
      </c>
      <c r="L62" s="37">
        <v>369316.43</v>
      </c>
      <c r="M62" s="37"/>
      <c r="N62" s="37">
        <f t="shared" si="2"/>
        <v>88002.57</v>
      </c>
      <c r="O62" s="33">
        <f t="shared" si="1"/>
        <v>0.8075685243779506</v>
      </c>
      <c r="P62" s="39"/>
    </row>
    <row r="63" spans="1:16" s="40" customFormat="1" ht="21.75" customHeight="1" hidden="1" outlineLevel="3">
      <c r="A63" s="41" t="s">
        <v>42</v>
      </c>
      <c r="B63" s="37">
        <v>276319</v>
      </c>
      <c r="C63" s="37">
        <v>276319</v>
      </c>
      <c r="D63" s="38"/>
      <c r="E63" s="37">
        <v>276319</v>
      </c>
      <c r="F63" s="37">
        <v>276319</v>
      </c>
      <c r="G63" s="38"/>
      <c r="H63" s="38"/>
      <c r="I63" s="38"/>
      <c r="J63" s="37">
        <v>276319</v>
      </c>
      <c r="K63" s="37">
        <v>276319</v>
      </c>
      <c r="L63" s="37"/>
      <c r="M63" s="37"/>
      <c r="N63" s="37">
        <f t="shared" si="2"/>
        <v>276319</v>
      </c>
      <c r="O63" s="33">
        <f t="shared" si="1"/>
        <v>0</v>
      </c>
      <c r="P63" s="39"/>
    </row>
    <row r="64" spans="1:16" s="40" customFormat="1" ht="11.25" customHeight="1" hidden="1" outlineLevel="2" collapsed="1">
      <c r="A64" s="36" t="s">
        <v>18</v>
      </c>
      <c r="B64" s="37">
        <v>15000</v>
      </c>
      <c r="C64" s="37">
        <v>15000</v>
      </c>
      <c r="D64" s="38"/>
      <c r="E64" s="37">
        <v>15000</v>
      </c>
      <c r="F64" s="37">
        <v>15000</v>
      </c>
      <c r="G64" s="38"/>
      <c r="H64" s="38"/>
      <c r="I64" s="38"/>
      <c r="J64" s="37">
        <v>15000</v>
      </c>
      <c r="K64" s="37">
        <v>15000</v>
      </c>
      <c r="L64" s="37">
        <v>2538.82</v>
      </c>
      <c r="M64" s="37"/>
      <c r="N64" s="37">
        <f t="shared" si="2"/>
        <v>12461.18</v>
      </c>
      <c r="O64" s="33">
        <f t="shared" si="1"/>
        <v>0.16925466666666666</v>
      </c>
      <c r="P64" s="39"/>
    </row>
    <row r="65" spans="1:16" s="40" customFormat="1" ht="21.75" customHeight="1" hidden="1" outlineLevel="3">
      <c r="A65" s="41" t="s">
        <v>42</v>
      </c>
      <c r="B65" s="37">
        <v>15000</v>
      </c>
      <c r="C65" s="37">
        <v>15000</v>
      </c>
      <c r="D65" s="38"/>
      <c r="E65" s="37">
        <v>15000</v>
      </c>
      <c r="F65" s="37">
        <v>15000</v>
      </c>
      <c r="G65" s="38"/>
      <c r="H65" s="38"/>
      <c r="I65" s="38"/>
      <c r="J65" s="37">
        <v>15000</v>
      </c>
      <c r="K65" s="37">
        <v>15000</v>
      </c>
      <c r="L65" s="37"/>
      <c r="M65" s="37"/>
      <c r="N65" s="37">
        <f t="shared" si="2"/>
        <v>15000</v>
      </c>
      <c r="O65" s="33">
        <f t="shared" si="1"/>
        <v>0</v>
      </c>
      <c r="P65" s="39"/>
    </row>
    <row r="66" spans="1:16" s="40" customFormat="1" ht="11.25" customHeight="1" hidden="1" outlineLevel="2" collapsed="1">
      <c r="A66" s="36" t="s">
        <v>19</v>
      </c>
      <c r="B66" s="37">
        <v>1037</v>
      </c>
      <c r="C66" s="37">
        <v>1037</v>
      </c>
      <c r="D66" s="38"/>
      <c r="E66" s="37">
        <v>4037</v>
      </c>
      <c r="F66" s="37">
        <v>1037</v>
      </c>
      <c r="G66" s="38"/>
      <c r="H66" s="38"/>
      <c r="I66" s="38"/>
      <c r="J66" s="37">
        <v>1037</v>
      </c>
      <c r="K66" s="37">
        <v>1037</v>
      </c>
      <c r="L66" s="37">
        <v>3205.43</v>
      </c>
      <c r="M66" s="37"/>
      <c r="N66" s="37">
        <f t="shared" si="2"/>
        <v>831.5700000000002</v>
      </c>
      <c r="O66" s="33">
        <f t="shared" si="1"/>
        <v>0.7940128808521179</v>
      </c>
      <c r="P66" s="39"/>
    </row>
    <row r="67" spans="1:16" s="40" customFormat="1" ht="21.75" customHeight="1" hidden="1" outlineLevel="3">
      <c r="A67" s="41" t="s">
        <v>42</v>
      </c>
      <c r="B67" s="37">
        <v>1037</v>
      </c>
      <c r="C67" s="37">
        <v>1037</v>
      </c>
      <c r="D67" s="38"/>
      <c r="E67" s="37">
        <v>1037</v>
      </c>
      <c r="F67" s="37">
        <v>1037</v>
      </c>
      <c r="G67" s="38"/>
      <c r="H67" s="38"/>
      <c r="I67" s="38"/>
      <c r="J67" s="37">
        <v>1037</v>
      </c>
      <c r="K67" s="37">
        <v>1037</v>
      </c>
      <c r="L67" s="37"/>
      <c r="M67" s="37"/>
      <c r="N67" s="37">
        <f t="shared" si="2"/>
        <v>1037</v>
      </c>
      <c r="O67" s="33">
        <f t="shared" si="1"/>
        <v>0</v>
      </c>
      <c r="P67" s="39"/>
    </row>
    <row r="68" spans="1:16" s="40" customFormat="1" ht="11.25" customHeight="1" hidden="1" outlineLevel="2" collapsed="1">
      <c r="A68" s="36" t="s">
        <v>20</v>
      </c>
      <c r="B68" s="37">
        <v>19268</v>
      </c>
      <c r="C68" s="37">
        <v>19268</v>
      </c>
      <c r="D68" s="38"/>
      <c r="E68" s="37">
        <v>29768</v>
      </c>
      <c r="F68" s="37">
        <v>19268</v>
      </c>
      <c r="G68" s="38"/>
      <c r="H68" s="38"/>
      <c r="I68" s="38"/>
      <c r="J68" s="37">
        <v>19268</v>
      </c>
      <c r="K68" s="37">
        <v>19268</v>
      </c>
      <c r="L68" s="37">
        <v>14909.01</v>
      </c>
      <c r="M68" s="37"/>
      <c r="N68" s="37">
        <f t="shared" si="2"/>
        <v>14858.99</v>
      </c>
      <c r="O68" s="33">
        <f t="shared" si="1"/>
        <v>0.5008401639344262</v>
      </c>
      <c r="P68" s="39"/>
    </row>
    <row r="69" spans="1:16" s="40" customFormat="1" ht="21.75" customHeight="1" hidden="1" outlineLevel="3">
      <c r="A69" s="41" t="s">
        <v>42</v>
      </c>
      <c r="B69" s="37">
        <v>19268</v>
      </c>
      <c r="C69" s="37">
        <v>19268</v>
      </c>
      <c r="D69" s="38"/>
      <c r="E69" s="37">
        <v>19268</v>
      </c>
      <c r="F69" s="37">
        <v>19268</v>
      </c>
      <c r="G69" s="38"/>
      <c r="H69" s="38"/>
      <c r="I69" s="38"/>
      <c r="J69" s="37">
        <v>19268</v>
      </c>
      <c r="K69" s="37">
        <v>19268</v>
      </c>
      <c r="L69" s="37"/>
      <c r="M69" s="37"/>
      <c r="N69" s="37">
        <f t="shared" si="2"/>
        <v>19268</v>
      </c>
      <c r="O69" s="33">
        <f t="shared" si="1"/>
        <v>0</v>
      </c>
      <c r="P69" s="39"/>
    </row>
    <row r="70" spans="1:16" s="40" customFormat="1" ht="11.25" customHeight="1" hidden="1" outlineLevel="2" collapsed="1">
      <c r="A70" s="36" t="s">
        <v>21</v>
      </c>
      <c r="B70" s="37">
        <v>30895</v>
      </c>
      <c r="C70" s="37">
        <v>30895</v>
      </c>
      <c r="D70" s="38"/>
      <c r="E70" s="37">
        <v>30895</v>
      </c>
      <c r="F70" s="37">
        <v>30895</v>
      </c>
      <c r="G70" s="38"/>
      <c r="H70" s="38"/>
      <c r="I70" s="38"/>
      <c r="J70" s="37">
        <v>30895</v>
      </c>
      <c r="K70" s="37">
        <v>30895</v>
      </c>
      <c r="L70" s="37">
        <v>11453.16</v>
      </c>
      <c r="M70" s="37"/>
      <c r="N70" s="37">
        <f t="shared" si="2"/>
        <v>19441.84</v>
      </c>
      <c r="O70" s="33">
        <f t="shared" si="1"/>
        <v>0.3707124130118142</v>
      </c>
      <c r="P70" s="39"/>
    </row>
    <row r="71" spans="1:16" s="40" customFormat="1" ht="21.75" customHeight="1" hidden="1" outlineLevel="3">
      <c r="A71" s="41" t="s">
        <v>42</v>
      </c>
      <c r="B71" s="37">
        <v>30895</v>
      </c>
      <c r="C71" s="37">
        <v>30895</v>
      </c>
      <c r="D71" s="38"/>
      <c r="E71" s="37">
        <v>30895</v>
      </c>
      <c r="F71" s="37">
        <v>30895</v>
      </c>
      <c r="G71" s="38"/>
      <c r="H71" s="38"/>
      <c r="I71" s="38"/>
      <c r="J71" s="37">
        <v>30895</v>
      </c>
      <c r="K71" s="37">
        <v>30895</v>
      </c>
      <c r="L71" s="37"/>
      <c r="M71" s="37"/>
      <c r="N71" s="37">
        <f t="shared" si="2"/>
        <v>30895</v>
      </c>
      <c r="O71" s="33">
        <f aca="true" t="shared" si="3" ref="O71:O134">L71/E71</f>
        <v>0</v>
      </c>
      <c r="P71" s="39"/>
    </row>
    <row r="72" spans="1:16" s="40" customFormat="1" ht="21.75" customHeight="1" hidden="1" outlineLevel="2" collapsed="1">
      <c r="A72" s="36" t="s">
        <v>43</v>
      </c>
      <c r="B72" s="37">
        <v>57000</v>
      </c>
      <c r="C72" s="37">
        <v>57000</v>
      </c>
      <c r="D72" s="38"/>
      <c r="E72" s="37">
        <v>57000</v>
      </c>
      <c r="F72" s="37">
        <v>57000</v>
      </c>
      <c r="G72" s="38"/>
      <c r="H72" s="38"/>
      <c r="I72" s="38"/>
      <c r="J72" s="37">
        <v>57000</v>
      </c>
      <c r="K72" s="37">
        <v>57000</v>
      </c>
      <c r="L72" s="37">
        <v>35812.8</v>
      </c>
      <c r="M72" s="37"/>
      <c r="N72" s="37">
        <f t="shared" si="2"/>
        <v>21187.199999999997</v>
      </c>
      <c r="O72" s="33">
        <f t="shared" si="3"/>
        <v>0.6282947368421054</v>
      </c>
      <c r="P72" s="39"/>
    </row>
    <row r="73" spans="1:16" s="40" customFormat="1" ht="21.75" customHeight="1" hidden="1" outlineLevel="3">
      <c r="A73" s="41" t="s">
        <v>42</v>
      </c>
      <c r="B73" s="37">
        <v>57000</v>
      </c>
      <c r="C73" s="37">
        <v>57000</v>
      </c>
      <c r="D73" s="38"/>
      <c r="E73" s="37">
        <v>57000</v>
      </c>
      <c r="F73" s="37">
        <v>57000</v>
      </c>
      <c r="G73" s="38"/>
      <c r="H73" s="38"/>
      <c r="I73" s="38"/>
      <c r="J73" s="37">
        <v>57000</v>
      </c>
      <c r="K73" s="37">
        <v>57000</v>
      </c>
      <c r="L73" s="37"/>
      <c r="M73" s="37"/>
      <c r="N73" s="37">
        <f t="shared" si="2"/>
        <v>57000</v>
      </c>
      <c r="O73" s="33">
        <f t="shared" si="3"/>
        <v>0</v>
      </c>
      <c r="P73" s="39"/>
    </row>
    <row r="74" spans="1:16" s="40" customFormat="1" ht="11.25" customHeight="1" hidden="1" outlineLevel="2" collapsed="1">
      <c r="A74" s="36" t="s">
        <v>22</v>
      </c>
      <c r="B74" s="37">
        <v>7819</v>
      </c>
      <c r="C74" s="37">
        <v>7819</v>
      </c>
      <c r="D74" s="38"/>
      <c r="E74" s="37">
        <v>272819</v>
      </c>
      <c r="F74" s="37">
        <v>7819</v>
      </c>
      <c r="G74" s="38"/>
      <c r="H74" s="38"/>
      <c r="I74" s="38"/>
      <c r="J74" s="37">
        <v>7819</v>
      </c>
      <c r="K74" s="37">
        <v>7819</v>
      </c>
      <c r="L74" s="37">
        <v>196656.93</v>
      </c>
      <c r="M74" s="37"/>
      <c r="N74" s="37">
        <f t="shared" si="2"/>
        <v>76162.07</v>
      </c>
      <c r="O74" s="33">
        <f t="shared" si="3"/>
        <v>0.7208329698444756</v>
      </c>
      <c r="P74" s="39"/>
    </row>
    <row r="75" spans="1:16" s="40" customFormat="1" ht="21.75" customHeight="1" hidden="1" outlineLevel="3">
      <c r="A75" s="41" t="s">
        <v>42</v>
      </c>
      <c r="B75" s="37">
        <v>7819</v>
      </c>
      <c r="C75" s="37">
        <v>7819</v>
      </c>
      <c r="D75" s="38"/>
      <c r="E75" s="37">
        <v>7819</v>
      </c>
      <c r="F75" s="37">
        <v>7819</v>
      </c>
      <c r="G75" s="38"/>
      <c r="H75" s="38"/>
      <c r="I75" s="38"/>
      <c r="J75" s="37">
        <v>7819</v>
      </c>
      <c r="K75" s="37">
        <v>7819</v>
      </c>
      <c r="L75" s="37"/>
      <c r="M75" s="37"/>
      <c r="N75" s="37">
        <f t="shared" si="2"/>
        <v>7819</v>
      </c>
      <c r="O75" s="33">
        <f t="shared" si="3"/>
        <v>0</v>
      </c>
      <c r="P75" s="39"/>
    </row>
    <row r="76" spans="1:16" s="40" customFormat="1" ht="11.25" customHeight="1" hidden="1" outlineLevel="2" collapsed="1">
      <c r="A76" s="36" t="s">
        <v>23</v>
      </c>
      <c r="B76" s="37">
        <v>62500</v>
      </c>
      <c r="C76" s="37">
        <v>62500</v>
      </c>
      <c r="D76" s="38"/>
      <c r="E76" s="37">
        <v>402500</v>
      </c>
      <c r="F76" s="37">
        <v>62500</v>
      </c>
      <c r="G76" s="38"/>
      <c r="H76" s="38"/>
      <c r="I76" s="38"/>
      <c r="J76" s="37">
        <v>62500</v>
      </c>
      <c r="K76" s="37">
        <v>62500</v>
      </c>
      <c r="L76" s="37">
        <v>182517.4</v>
      </c>
      <c r="M76" s="37"/>
      <c r="N76" s="37">
        <f t="shared" si="2"/>
        <v>219982.6</v>
      </c>
      <c r="O76" s="33">
        <f t="shared" si="3"/>
        <v>0.45345937888198756</v>
      </c>
      <c r="P76" s="39"/>
    </row>
    <row r="77" spans="1:16" s="40" customFormat="1" ht="21.75" customHeight="1" hidden="1" outlineLevel="3">
      <c r="A77" s="41" t="s">
        <v>42</v>
      </c>
      <c r="B77" s="37">
        <v>62500</v>
      </c>
      <c r="C77" s="37">
        <v>62500</v>
      </c>
      <c r="D77" s="38"/>
      <c r="E77" s="37">
        <v>62500</v>
      </c>
      <c r="F77" s="37">
        <v>62500</v>
      </c>
      <c r="G77" s="38"/>
      <c r="H77" s="38"/>
      <c r="I77" s="38"/>
      <c r="J77" s="37">
        <v>62500</v>
      </c>
      <c r="K77" s="37">
        <v>62500</v>
      </c>
      <c r="L77" s="37"/>
      <c r="M77" s="37"/>
      <c r="N77" s="37">
        <f t="shared" si="2"/>
        <v>62500</v>
      </c>
      <c r="O77" s="33">
        <f t="shared" si="3"/>
        <v>0</v>
      </c>
      <c r="P77" s="39"/>
    </row>
    <row r="78" spans="1:16" s="40" customFormat="1" ht="11.25" customHeight="1" hidden="1" outlineLevel="2" collapsed="1">
      <c r="A78" s="36" t="s">
        <v>24</v>
      </c>
      <c r="B78" s="37">
        <v>300000</v>
      </c>
      <c r="C78" s="37">
        <v>300000</v>
      </c>
      <c r="D78" s="38"/>
      <c r="E78" s="37">
        <v>185000</v>
      </c>
      <c r="F78" s="37">
        <v>300000</v>
      </c>
      <c r="G78" s="38"/>
      <c r="H78" s="38"/>
      <c r="I78" s="38"/>
      <c r="J78" s="37">
        <v>300000</v>
      </c>
      <c r="K78" s="37">
        <v>300000</v>
      </c>
      <c r="L78" s="37">
        <v>74488.19</v>
      </c>
      <c r="M78" s="37"/>
      <c r="N78" s="37">
        <f t="shared" si="2"/>
        <v>110511.81</v>
      </c>
      <c r="O78" s="33">
        <f t="shared" si="3"/>
        <v>0.4026388648648649</v>
      </c>
      <c r="P78" s="39"/>
    </row>
    <row r="79" spans="1:16" ht="21.75" customHeight="1" hidden="1" outlineLevel="3">
      <c r="A79" s="30" t="s">
        <v>42</v>
      </c>
      <c r="B79" s="31">
        <v>300000</v>
      </c>
      <c r="C79" s="31">
        <v>300000</v>
      </c>
      <c r="D79" s="32"/>
      <c r="E79" s="31">
        <v>300000</v>
      </c>
      <c r="F79" s="31">
        <v>300000</v>
      </c>
      <c r="G79" s="32"/>
      <c r="H79" s="32"/>
      <c r="I79" s="32"/>
      <c r="J79" s="31">
        <v>300000</v>
      </c>
      <c r="K79" s="31">
        <v>300000</v>
      </c>
      <c r="L79" s="31"/>
      <c r="M79" s="31"/>
      <c r="N79" s="37">
        <f t="shared" si="2"/>
        <v>300000</v>
      </c>
      <c r="O79" s="33">
        <f t="shared" si="3"/>
        <v>0</v>
      </c>
      <c r="P79" s="34"/>
    </row>
    <row r="80" spans="1:16" s="23" customFormat="1" ht="21.75" customHeight="1" outlineLevel="1">
      <c r="A80" s="24" t="s">
        <v>151</v>
      </c>
      <c r="B80" s="20">
        <v>7138800</v>
      </c>
      <c r="C80" s="20">
        <v>7138800</v>
      </c>
      <c r="D80" s="27"/>
      <c r="E80" s="20">
        <v>21858010</v>
      </c>
      <c r="F80" s="20">
        <v>21858010</v>
      </c>
      <c r="G80" s="27"/>
      <c r="H80" s="20">
        <v>21858010</v>
      </c>
      <c r="I80" s="20">
        <v>9614535.25</v>
      </c>
      <c r="J80" s="27"/>
      <c r="K80" s="27"/>
      <c r="L80" s="20">
        <f>L81</f>
        <v>18220178.21</v>
      </c>
      <c r="M80" s="20"/>
      <c r="N80" s="20">
        <f t="shared" si="2"/>
        <v>3637831.789999999</v>
      </c>
      <c r="O80" s="21">
        <f t="shared" si="3"/>
        <v>0.8335698542548018</v>
      </c>
      <c r="P80" s="22"/>
    </row>
    <row r="81" spans="1:16" s="23" customFormat="1" ht="11.25" customHeight="1" outlineLevel="2">
      <c r="A81" s="26" t="s">
        <v>35</v>
      </c>
      <c r="B81" s="20">
        <v>7138800</v>
      </c>
      <c r="C81" s="20">
        <v>7138800</v>
      </c>
      <c r="D81" s="27"/>
      <c r="E81" s="20">
        <v>21858010</v>
      </c>
      <c r="F81" s="20">
        <v>21858010</v>
      </c>
      <c r="G81" s="27"/>
      <c r="H81" s="20">
        <v>21858010</v>
      </c>
      <c r="I81" s="20">
        <v>9614535.25</v>
      </c>
      <c r="J81" s="27"/>
      <c r="K81" s="27"/>
      <c r="L81" s="20">
        <f>SUM(L82:L86)</f>
        <v>18220178.21</v>
      </c>
      <c r="M81" s="20"/>
      <c r="N81" s="20">
        <f t="shared" si="2"/>
        <v>3637831.789999999</v>
      </c>
      <c r="O81" s="21">
        <f t="shared" si="3"/>
        <v>0.8335698542548018</v>
      </c>
      <c r="P81" s="22"/>
    </row>
    <row r="82" spans="1:16" s="23" customFormat="1" ht="78.75" customHeight="1" outlineLevel="3">
      <c r="A82" s="28" t="s">
        <v>37</v>
      </c>
      <c r="B82" s="20">
        <v>1296000</v>
      </c>
      <c r="C82" s="20">
        <v>1296000</v>
      </c>
      <c r="D82" s="27"/>
      <c r="E82" s="20">
        <v>4368000</v>
      </c>
      <c r="F82" s="20">
        <v>4368000</v>
      </c>
      <c r="G82" s="27"/>
      <c r="H82" s="20">
        <v>4368000</v>
      </c>
      <c r="I82" s="20">
        <v>3707378.8</v>
      </c>
      <c r="J82" s="27"/>
      <c r="K82" s="27"/>
      <c r="L82" s="20">
        <v>3371583.79</v>
      </c>
      <c r="M82" s="20"/>
      <c r="N82" s="20">
        <f t="shared" si="2"/>
        <v>996416.21</v>
      </c>
      <c r="O82" s="21">
        <f t="shared" si="3"/>
        <v>0.7718827358058609</v>
      </c>
      <c r="P82" s="22" t="s">
        <v>218</v>
      </c>
    </row>
    <row r="83" spans="1:16" s="23" customFormat="1" ht="41.25" customHeight="1" outlineLevel="3">
      <c r="A83" s="28" t="s">
        <v>44</v>
      </c>
      <c r="B83" s="20">
        <v>550800</v>
      </c>
      <c r="C83" s="20">
        <v>550800</v>
      </c>
      <c r="D83" s="27"/>
      <c r="E83" s="20">
        <v>4644044</v>
      </c>
      <c r="F83" s="20">
        <v>4644044</v>
      </c>
      <c r="G83" s="27"/>
      <c r="H83" s="20">
        <v>4644044</v>
      </c>
      <c r="I83" s="20">
        <v>1529834.75</v>
      </c>
      <c r="J83" s="27"/>
      <c r="K83" s="27"/>
      <c r="L83" s="20">
        <v>4406761.58</v>
      </c>
      <c r="M83" s="20"/>
      <c r="N83" s="20">
        <f t="shared" si="2"/>
        <v>237282.41999999993</v>
      </c>
      <c r="O83" s="21">
        <f t="shared" si="3"/>
        <v>0.9489060784092485</v>
      </c>
      <c r="P83" s="22" t="s">
        <v>220</v>
      </c>
    </row>
    <row r="84" spans="1:16" s="23" customFormat="1" ht="60.75" customHeight="1" outlineLevel="3">
      <c r="A84" s="28" t="s">
        <v>45</v>
      </c>
      <c r="B84" s="20">
        <v>2916000</v>
      </c>
      <c r="C84" s="20">
        <v>2916000</v>
      </c>
      <c r="D84" s="27"/>
      <c r="E84" s="20">
        <v>2613000</v>
      </c>
      <c r="F84" s="20">
        <v>2613000</v>
      </c>
      <c r="G84" s="27"/>
      <c r="H84" s="20">
        <v>2613000</v>
      </c>
      <c r="I84" s="20">
        <v>341244.79</v>
      </c>
      <c r="J84" s="27"/>
      <c r="K84" s="27"/>
      <c r="L84" s="20">
        <v>2603458.77</v>
      </c>
      <c r="M84" s="20"/>
      <c r="N84" s="20">
        <f t="shared" si="2"/>
        <v>9541.229999999981</v>
      </c>
      <c r="O84" s="21">
        <f t="shared" si="3"/>
        <v>0.9963485533869116</v>
      </c>
      <c r="P84" s="22" t="s">
        <v>219</v>
      </c>
    </row>
    <row r="85" spans="1:16" s="23" customFormat="1" ht="11.25" customHeight="1" outlineLevel="3">
      <c r="A85" s="28" t="s">
        <v>30</v>
      </c>
      <c r="B85" s="27"/>
      <c r="C85" s="27"/>
      <c r="D85" s="27"/>
      <c r="E85" s="20">
        <v>15000</v>
      </c>
      <c r="F85" s="20">
        <v>15000</v>
      </c>
      <c r="G85" s="27"/>
      <c r="H85" s="20">
        <v>15000</v>
      </c>
      <c r="I85" s="20">
        <v>15000</v>
      </c>
      <c r="J85" s="27"/>
      <c r="K85" s="27"/>
      <c r="L85" s="20">
        <v>15000</v>
      </c>
      <c r="M85" s="20"/>
      <c r="N85" s="20">
        <f t="shared" si="2"/>
        <v>0</v>
      </c>
      <c r="O85" s="21">
        <f t="shared" si="3"/>
        <v>1</v>
      </c>
      <c r="P85" s="22"/>
    </row>
    <row r="86" spans="1:16" s="23" customFormat="1" ht="59.25" customHeight="1" outlineLevel="3">
      <c r="A86" s="28" t="s">
        <v>46</v>
      </c>
      <c r="B86" s="20">
        <v>2376000</v>
      </c>
      <c r="C86" s="20">
        <v>2376000</v>
      </c>
      <c r="D86" s="27"/>
      <c r="E86" s="20">
        <v>10217966</v>
      </c>
      <c r="F86" s="20">
        <v>10217966</v>
      </c>
      <c r="G86" s="27"/>
      <c r="H86" s="20">
        <v>10217966</v>
      </c>
      <c r="I86" s="20">
        <v>4021076.91</v>
      </c>
      <c r="J86" s="27"/>
      <c r="K86" s="27"/>
      <c r="L86" s="20">
        <v>7823374.07</v>
      </c>
      <c r="M86" s="20"/>
      <c r="N86" s="20">
        <f t="shared" si="2"/>
        <v>2394591.9299999997</v>
      </c>
      <c r="O86" s="21">
        <f t="shared" si="3"/>
        <v>0.7656488649502259</v>
      </c>
      <c r="P86" s="22" t="s">
        <v>221</v>
      </c>
    </row>
    <row r="87" spans="1:16" s="23" customFormat="1" ht="11.25" customHeight="1" outlineLevel="1">
      <c r="A87" s="24" t="s">
        <v>152</v>
      </c>
      <c r="B87" s="20">
        <v>94120742</v>
      </c>
      <c r="C87" s="20">
        <v>94120742</v>
      </c>
      <c r="D87" s="20">
        <v>3368990</v>
      </c>
      <c r="E87" s="20">
        <v>108332607.96</v>
      </c>
      <c r="F87" s="20">
        <v>108332607.96</v>
      </c>
      <c r="G87" s="20">
        <v>7238464.96</v>
      </c>
      <c r="H87" s="20">
        <v>108209817.96</v>
      </c>
      <c r="I87" s="20">
        <v>40347146.48</v>
      </c>
      <c r="J87" s="20">
        <v>122790</v>
      </c>
      <c r="K87" s="20">
        <v>122790</v>
      </c>
      <c r="L87" s="20">
        <f>L88+L92+L104+L106+L108+L112</f>
        <v>95211255.92</v>
      </c>
      <c r="M87" s="20">
        <v>557.4</v>
      </c>
      <c r="N87" s="20">
        <f t="shared" si="2"/>
        <v>13121352.039999992</v>
      </c>
      <c r="O87" s="21">
        <f t="shared" si="3"/>
        <v>0.8788790163267847</v>
      </c>
      <c r="P87" s="22"/>
    </row>
    <row r="88" spans="1:16" s="23" customFormat="1" ht="11.25" customHeight="1" outlineLevel="2">
      <c r="A88" s="26" t="s">
        <v>16</v>
      </c>
      <c r="B88" s="20">
        <v>6060000</v>
      </c>
      <c r="C88" s="20">
        <v>6060000</v>
      </c>
      <c r="D88" s="27"/>
      <c r="E88" s="20">
        <v>5032420</v>
      </c>
      <c r="F88" s="20">
        <v>5032420</v>
      </c>
      <c r="G88" s="20">
        <v>220420</v>
      </c>
      <c r="H88" s="20">
        <v>5032420</v>
      </c>
      <c r="I88" s="20">
        <v>2453095.2</v>
      </c>
      <c r="J88" s="27"/>
      <c r="K88" s="27"/>
      <c r="L88" s="20">
        <f>SUM(L89:L91)</f>
        <v>3849144.8</v>
      </c>
      <c r="M88" s="20">
        <v>1112.92</v>
      </c>
      <c r="N88" s="20">
        <f t="shared" si="2"/>
        <v>1183275.2000000002</v>
      </c>
      <c r="O88" s="21">
        <f t="shared" si="3"/>
        <v>0.7648695458646138</v>
      </c>
      <c r="P88" s="22"/>
    </row>
    <row r="89" spans="1:16" s="23" customFormat="1" ht="11.25" customHeight="1" outlineLevel="3">
      <c r="A89" s="28" t="s">
        <v>30</v>
      </c>
      <c r="B89" s="27"/>
      <c r="C89" s="27"/>
      <c r="D89" s="27"/>
      <c r="E89" s="20">
        <v>3000</v>
      </c>
      <c r="F89" s="20">
        <v>3000</v>
      </c>
      <c r="G89" s="27"/>
      <c r="H89" s="20">
        <v>3000</v>
      </c>
      <c r="I89" s="20">
        <v>3000</v>
      </c>
      <c r="J89" s="27"/>
      <c r="K89" s="27"/>
      <c r="L89" s="20">
        <v>3000</v>
      </c>
      <c r="M89" s="20"/>
      <c r="N89" s="20">
        <f t="shared" si="2"/>
        <v>0</v>
      </c>
      <c r="O89" s="21">
        <f t="shared" si="3"/>
        <v>1</v>
      </c>
      <c r="P89" s="22"/>
    </row>
    <row r="90" spans="1:16" s="23" customFormat="1" ht="21" customHeight="1" outlineLevel="3">
      <c r="A90" s="28" t="s">
        <v>47</v>
      </c>
      <c r="B90" s="20">
        <v>2644000</v>
      </c>
      <c r="C90" s="20">
        <v>2644000</v>
      </c>
      <c r="D90" s="27"/>
      <c r="E90" s="20">
        <v>2370000</v>
      </c>
      <c r="F90" s="20">
        <v>2370000</v>
      </c>
      <c r="G90" s="27"/>
      <c r="H90" s="20">
        <v>2370000</v>
      </c>
      <c r="I90" s="20">
        <v>531101.2</v>
      </c>
      <c r="J90" s="27"/>
      <c r="K90" s="27"/>
      <c r="L90" s="20">
        <v>2320324.8</v>
      </c>
      <c r="M90" s="20"/>
      <c r="N90" s="20">
        <f t="shared" si="2"/>
        <v>49675.200000000186</v>
      </c>
      <c r="O90" s="21">
        <f t="shared" si="3"/>
        <v>0.9790399999999999</v>
      </c>
      <c r="P90" s="22" t="s">
        <v>225</v>
      </c>
    </row>
    <row r="91" spans="1:16" s="23" customFormat="1" ht="36" customHeight="1" outlineLevel="3">
      <c r="A91" s="28" t="s">
        <v>48</v>
      </c>
      <c r="B91" s="20">
        <v>3416000</v>
      </c>
      <c r="C91" s="20">
        <v>3416000</v>
      </c>
      <c r="D91" s="27"/>
      <c r="E91" s="20">
        <v>2659420</v>
      </c>
      <c r="F91" s="20">
        <v>2659420</v>
      </c>
      <c r="G91" s="20">
        <v>220420</v>
      </c>
      <c r="H91" s="20">
        <v>2659420</v>
      </c>
      <c r="I91" s="20">
        <v>1918994</v>
      </c>
      <c r="J91" s="27"/>
      <c r="K91" s="27"/>
      <c r="L91" s="20">
        <f>3849144.8-3000-2320324.8</f>
        <v>1525820</v>
      </c>
      <c r="M91" s="20">
        <v>870.61</v>
      </c>
      <c r="N91" s="20">
        <f t="shared" si="2"/>
        <v>1133600</v>
      </c>
      <c r="O91" s="21">
        <f t="shared" si="3"/>
        <v>0.5737416429146205</v>
      </c>
      <c r="P91" s="22" t="s">
        <v>226</v>
      </c>
    </row>
    <row r="92" spans="1:16" s="23" customFormat="1" ht="11.25" customHeight="1" outlineLevel="2">
      <c r="A92" s="26" t="s">
        <v>17</v>
      </c>
      <c r="B92" s="20">
        <v>56066421</v>
      </c>
      <c r="C92" s="20">
        <v>56066421</v>
      </c>
      <c r="D92" s="20">
        <v>3178567</v>
      </c>
      <c r="E92" s="20">
        <v>70466909</v>
      </c>
      <c r="F92" s="20">
        <v>70466909</v>
      </c>
      <c r="G92" s="20">
        <v>4178147</v>
      </c>
      <c r="H92" s="20">
        <v>70466909</v>
      </c>
      <c r="I92" s="20">
        <v>22571130.59</v>
      </c>
      <c r="J92" s="27"/>
      <c r="K92" s="27"/>
      <c r="L92" s="20">
        <f>SUM(L93:L103)</f>
        <v>61978005.49000001</v>
      </c>
      <c r="M92" s="20">
        <v>540.22</v>
      </c>
      <c r="N92" s="20">
        <f t="shared" si="2"/>
        <v>8488903.50999999</v>
      </c>
      <c r="O92" s="21">
        <f t="shared" si="3"/>
        <v>0.8795334770537474</v>
      </c>
      <c r="P92" s="22"/>
    </row>
    <row r="93" spans="1:16" s="23" customFormat="1" ht="24" customHeight="1" outlineLevel="3">
      <c r="A93" s="28" t="s">
        <v>49</v>
      </c>
      <c r="B93" s="20">
        <v>5710522</v>
      </c>
      <c r="C93" s="20">
        <v>5710522</v>
      </c>
      <c r="D93" s="20">
        <v>36506</v>
      </c>
      <c r="E93" s="20">
        <v>7093522</v>
      </c>
      <c r="F93" s="20">
        <v>7093522</v>
      </c>
      <c r="G93" s="20">
        <v>36506</v>
      </c>
      <c r="H93" s="20">
        <v>7093522</v>
      </c>
      <c r="I93" s="20">
        <v>1099530.04</v>
      </c>
      <c r="J93" s="27"/>
      <c r="K93" s="27"/>
      <c r="L93" s="20">
        <v>6631894.16</v>
      </c>
      <c r="M93" s="20">
        <v>3011.92</v>
      </c>
      <c r="N93" s="20">
        <f t="shared" si="2"/>
        <v>461627.83999999985</v>
      </c>
      <c r="O93" s="21">
        <f t="shared" si="3"/>
        <v>0.9349226181296117</v>
      </c>
      <c r="P93" s="22" t="s">
        <v>227</v>
      </c>
    </row>
    <row r="94" spans="1:16" s="23" customFormat="1" ht="33.75" customHeight="1" outlineLevel="3">
      <c r="A94" s="28" t="s">
        <v>50</v>
      </c>
      <c r="B94" s="20">
        <v>6292574</v>
      </c>
      <c r="C94" s="20">
        <v>6292574</v>
      </c>
      <c r="D94" s="20">
        <v>38000</v>
      </c>
      <c r="E94" s="20">
        <v>17801482</v>
      </c>
      <c r="F94" s="20">
        <v>17801482</v>
      </c>
      <c r="G94" s="20">
        <v>1608000</v>
      </c>
      <c r="H94" s="20">
        <v>17801482</v>
      </c>
      <c r="I94" s="20">
        <v>10502064.12</v>
      </c>
      <c r="J94" s="27"/>
      <c r="K94" s="27"/>
      <c r="L94" s="20">
        <v>13469732.19</v>
      </c>
      <c r="M94" s="20">
        <v>653.11</v>
      </c>
      <c r="N94" s="20">
        <f aca="true" t="shared" si="4" ref="N94:N157">E94-L94</f>
        <v>4331749.8100000005</v>
      </c>
      <c r="O94" s="21">
        <f t="shared" si="3"/>
        <v>0.7566635289129298</v>
      </c>
      <c r="P94" s="22" t="s">
        <v>228</v>
      </c>
    </row>
    <row r="95" spans="1:16" s="23" customFormat="1" ht="70.5" customHeight="1" outlineLevel="3">
      <c r="A95" s="28" t="s">
        <v>30</v>
      </c>
      <c r="B95" s="27"/>
      <c r="C95" s="27"/>
      <c r="D95" s="27"/>
      <c r="E95" s="20">
        <v>230000</v>
      </c>
      <c r="F95" s="20">
        <v>230000</v>
      </c>
      <c r="G95" s="20">
        <v>20000</v>
      </c>
      <c r="H95" s="20">
        <v>230000</v>
      </c>
      <c r="I95" s="20">
        <v>230000</v>
      </c>
      <c r="J95" s="27"/>
      <c r="K95" s="27"/>
      <c r="L95" s="20">
        <v>71130</v>
      </c>
      <c r="M95" s="20">
        <v>1150</v>
      </c>
      <c r="N95" s="20">
        <f t="shared" si="4"/>
        <v>158870</v>
      </c>
      <c r="O95" s="21">
        <f t="shared" si="3"/>
        <v>0.30926086956521737</v>
      </c>
      <c r="P95" s="42" t="s">
        <v>229</v>
      </c>
    </row>
    <row r="96" spans="1:16" s="23" customFormat="1" ht="21" customHeight="1" outlineLevel="3">
      <c r="A96" s="28" t="s">
        <v>51</v>
      </c>
      <c r="B96" s="20">
        <v>348849</v>
      </c>
      <c r="C96" s="20">
        <v>348849</v>
      </c>
      <c r="D96" s="20">
        <v>62000</v>
      </c>
      <c r="E96" s="20">
        <v>348849</v>
      </c>
      <c r="F96" s="20">
        <v>348849</v>
      </c>
      <c r="G96" s="20">
        <v>62000</v>
      </c>
      <c r="H96" s="20">
        <v>348849</v>
      </c>
      <c r="I96" s="20">
        <v>79243.9</v>
      </c>
      <c r="J96" s="27"/>
      <c r="K96" s="27"/>
      <c r="L96" s="20">
        <v>336549.2</v>
      </c>
      <c r="M96" s="20">
        <v>127.81</v>
      </c>
      <c r="N96" s="20">
        <f t="shared" si="4"/>
        <v>12299.799999999988</v>
      </c>
      <c r="O96" s="21">
        <f t="shared" si="3"/>
        <v>0.9647417650616743</v>
      </c>
      <c r="P96" s="22" t="s">
        <v>210</v>
      </c>
    </row>
    <row r="97" spans="1:16" s="23" customFormat="1" ht="39" customHeight="1" outlineLevel="3">
      <c r="A97" s="28" t="s">
        <v>47</v>
      </c>
      <c r="B97" s="20">
        <v>6238188</v>
      </c>
      <c r="C97" s="20">
        <v>6238188</v>
      </c>
      <c r="D97" s="20">
        <v>1500000</v>
      </c>
      <c r="E97" s="20">
        <v>3004594</v>
      </c>
      <c r="F97" s="20">
        <v>3004594</v>
      </c>
      <c r="G97" s="20">
        <v>779580</v>
      </c>
      <c r="H97" s="20">
        <v>3004594</v>
      </c>
      <c r="I97" s="20">
        <v>974390.29</v>
      </c>
      <c r="J97" s="27"/>
      <c r="K97" s="27"/>
      <c r="L97" s="20">
        <f>198973.94+1651330.83+199000</f>
        <v>2049304.77</v>
      </c>
      <c r="M97" s="20">
        <v>124.99</v>
      </c>
      <c r="N97" s="20">
        <f t="shared" si="4"/>
        <v>955289.23</v>
      </c>
      <c r="O97" s="21">
        <f t="shared" si="3"/>
        <v>0.6820571331767287</v>
      </c>
      <c r="P97" s="22" t="s">
        <v>230</v>
      </c>
    </row>
    <row r="98" spans="1:16" s="23" customFormat="1" ht="27.75" customHeight="1" outlineLevel="3">
      <c r="A98" s="28" t="s">
        <v>52</v>
      </c>
      <c r="B98" s="20">
        <v>4643257</v>
      </c>
      <c r="C98" s="20">
        <v>4643257</v>
      </c>
      <c r="D98" s="20">
        <v>10000</v>
      </c>
      <c r="E98" s="20">
        <v>5150257</v>
      </c>
      <c r="F98" s="20">
        <v>5150257</v>
      </c>
      <c r="G98" s="20">
        <v>10000</v>
      </c>
      <c r="H98" s="20">
        <v>5150257</v>
      </c>
      <c r="I98" s="20">
        <v>3767769.9</v>
      </c>
      <c r="J98" s="27"/>
      <c r="K98" s="27"/>
      <c r="L98" s="20">
        <v>3329575.86</v>
      </c>
      <c r="M98" s="20">
        <v>37677.7</v>
      </c>
      <c r="N98" s="20">
        <f t="shared" si="4"/>
        <v>1820681.1400000001</v>
      </c>
      <c r="O98" s="21">
        <f t="shared" si="3"/>
        <v>0.6464873228656356</v>
      </c>
      <c r="P98" s="22" t="s">
        <v>227</v>
      </c>
    </row>
    <row r="99" spans="1:16" s="23" customFormat="1" ht="34.5" customHeight="1" outlineLevel="3">
      <c r="A99" s="28" t="s">
        <v>53</v>
      </c>
      <c r="B99" s="20">
        <v>6651590</v>
      </c>
      <c r="C99" s="20">
        <v>6651590</v>
      </c>
      <c r="D99" s="20">
        <v>391554</v>
      </c>
      <c r="E99" s="20">
        <v>10334764</v>
      </c>
      <c r="F99" s="20">
        <v>10334764</v>
      </c>
      <c r="G99" s="20">
        <v>391554</v>
      </c>
      <c r="H99" s="20">
        <v>10334764</v>
      </c>
      <c r="I99" s="20">
        <v>2319418</v>
      </c>
      <c r="J99" s="27"/>
      <c r="K99" s="27"/>
      <c r="L99" s="20">
        <v>9324052.8</v>
      </c>
      <c r="M99" s="20">
        <v>592.36</v>
      </c>
      <c r="N99" s="20">
        <f t="shared" si="4"/>
        <v>1010711.1999999993</v>
      </c>
      <c r="O99" s="21">
        <f t="shared" si="3"/>
        <v>0.9022027788926773</v>
      </c>
      <c r="P99" s="22" t="s">
        <v>231</v>
      </c>
    </row>
    <row r="100" spans="1:16" s="23" customFormat="1" ht="27.75" customHeight="1" outlineLevel="3">
      <c r="A100" s="28" t="s">
        <v>54</v>
      </c>
      <c r="B100" s="20">
        <v>4046354</v>
      </c>
      <c r="C100" s="20">
        <v>4046354</v>
      </c>
      <c r="D100" s="20">
        <v>325000</v>
      </c>
      <c r="E100" s="20">
        <v>3667354</v>
      </c>
      <c r="F100" s="20">
        <v>3667354</v>
      </c>
      <c r="G100" s="20">
        <v>325000</v>
      </c>
      <c r="H100" s="20">
        <v>3667354</v>
      </c>
      <c r="I100" s="20">
        <v>618960.02</v>
      </c>
      <c r="J100" s="27"/>
      <c r="K100" s="27"/>
      <c r="L100" s="20">
        <v>3478233.06</v>
      </c>
      <c r="M100" s="20">
        <v>190.45</v>
      </c>
      <c r="N100" s="20">
        <f t="shared" si="4"/>
        <v>189120.93999999994</v>
      </c>
      <c r="O100" s="21">
        <f t="shared" si="3"/>
        <v>0.9484312286187807</v>
      </c>
      <c r="P100" s="22" t="s">
        <v>232</v>
      </c>
    </row>
    <row r="101" spans="1:16" s="23" customFormat="1" ht="11.25" customHeight="1" outlineLevel="3">
      <c r="A101" s="28" t="s">
        <v>55</v>
      </c>
      <c r="B101" s="20">
        <v>2927837</v>
      </c>
      <c r="C101" s="20">
        <v>2927837</v>
      </c>
      <c r="D101" s="20">
        <v>202557</v>
      </c>
      <c r="E101" s="20">
        <v>4237837</v>
      </c>
      <c r="F101" s="20">
        <v>4237837</v>
      </c>
      <c r="G101" s="20">
        <v>332557</v>
      </c>
      <c r="H101" s="20">
        <v>4237837</v>
      </c>
      <c r="I101" s="20">
        <v>775269.38</v>
      </c>
      <c r="J101" s="27"/>
      <c r="K101" s="27"/>
      <c r="L101" s="20">
        <v>4251569.73</v>
      </c>
      <c r="M101" s="20">
        <v>233.12</v>
      </c>
      <c r="N101" s="20">
        <f t="shared" si="4"/>
        <v>-13732.730000000447</v>
      </c>
      <c r="O101" s="21">
        <f t="shared" si="3"/>
        <v>1.0032405045309671</v>
      </c>
      <c r="P101" s="22" t="s">
        <v>211</v>
      </c>
    </row>
    <row r="102" spans="1:16" s="23" customFormat="1" ht="21.75" customHeight="1" outlineLevel="3">
      <c r="A102" s="28" t="s">
        <v>56</v>
      </c>
      <c r="B102" s="20">
        <v>18178205</v>
      </c>
      <c r="C102" s="20">
        <v>18178205</v>
      </c>
      <c r="D102" s="20">
        <v>612950</v>
      </c>
      <c r="E102" s="20">
        <v>18179205</v>
      </c>
      <c r="F102" s="20">
        <v>18179205</v>
      </c>
      <c r="G102" s="20">
        <v>612950</v>
      </c>
      <c r="H102" s="20">
        <v>18179205</v>
      </c>
      <c r="I102" s="20">
        <v>2204171.27</v>
      </c>
      <c r="J102" s="27"/>
      <c r="K102" s="27"/>
      <c r="L102" s="20">
        <v>18617232.39</v>
      </c>
      <c r="M102" s="20">
        <v>359.6</v>
      </c>
      <c r="N102" s="20">
        <f t="shared" si="4"/>
        <v>-438027.3900000006</v>
      </c>
      <c r="O102" s="21">
        <f t="shared" si="3"/>
        <v>1.0240949694994914</v>
      </c>
      <c r="P102" s="22" t="s">
        <v>212</v>
      </c>
    </row>
    <row r="103" spans="1:16" s="23" customFormat="1" ht="11.25" customHeight="1" outlineLevel="3">
      <c r="A103" s="28" t="s">
        <v>57</v>
      </c>
      <c r="B103" s="20">
        <v>1029045</v>
      </c>
      <c r="C103" s="20">
        <v>1029045</v>
      </c>
      <c r="D103" s="27"/>
      <c r="E103" s="20">
        <v>419045</v>
      </c>
      <c r="F103" s="20">
        <v>419045</v>
      </c>
      <c r="G103" s="27"/>
      <c r="H103" s="20">
        <v>419045</v>
      </c>
      <c r="I103" s="25">
        <v>313.67</v>
      </c>
      <c r="J103" s="27"/>
      <c r="K103" s="27"/>
      <c r="L103" s="20">
        <v>418731.33</v>
      </c>
      <c r="M103" s="20"/>
      <c r="N103" s="20">
        <f t="shared" si="4"/>
        <v>313.6699999999837</v>
      </c>
      <c r="O103" s="21">
        <f t="shared" si="3"/>
        <v>0.9992514646398358</v>
      </c>
      <c r="P103" s="22"/>
    </row>
    <row r="104" spans="1:16" s="23" customFormat="1" ht="11.25" customHeight="1" outlineLevel="2">
      <c r="A104" s="26" t="s">
        <v>20</v>
      </c>
      <c r="B104" s="20">
        <v>1859553</v>
      </c>
      <c r="C104" s="20">
        <v>1859553</v>
      </c>
      <c r="D104" s="20">
        <v>184203</v>
      </c>
      <c r="E104" s="20">
        <v>837553</v>
      </c>
      <c r="F104" s="20">
        <v>837553</v>
      </c>
      <c r="G104" s="20">
        <v>4203</v>
      </c>
      <c r="H104" s="20">
        <v>837553</v>
      </c>
      <c r="I104" s="20">
        <v>30416.56</v>
      </c>
      <c r="J104" s="27"/>
      <c r="K104" s="27"/>
      <c r="L104" s="20">
        <f>L105</f>
        <v>807136.44</v>
      </c>
      <c r="M104" s="20">
        <v>723.69</v>
      </c>
      <c r="N104" s="20">
        <f t="shared" si="4"/>
        <v>30416.560000000056</v>
      </c>
      <c r="O104" s="21">
        <f t="shared" si="3"/>
        <v>0.9636840176084378</v>
      </c>
      <c r="P104" s="22"/>
    </row>
    <row r="105" spans="1:16" s="23" customFormat="1" ht="22.5" customHeight="1" outlineLevel="3">
      <c r="A105" s="28" t="s">
        <v>58</v>
      </c>
      <c r="B105" s="20">
        <v>1859553</v>
      </c>
      <c r="C105" s="20">
        <v>1859553</v>
      </c>
      <c r="D105" s="20">
        <v>184203</v>
      </c>
      <c r="E105" s="20">
        <v>837553</v>
      </c>
      <c r="F105" s="20">
        <v>837553</v>
      </c>
      <c r="G105" s="20">
        <v>4203</v>
      </c>
      <c r="H105" s="20">
        <v>837553</v>
      </c>
      <c r="I105" s="20">
        <v>30416.56</v>
      </c>
      <c r="J105" s="27"/>
      <c r="K105" s="27"/>
      <c r="L105" s="20">
        <v>807136.44</v>
      </c>
      <c r="M105" s="20">
        <v>723.69</v>
      </c>
      <c r="N105" s="20">
        <f t="shared" si="4"/>
        <v>30416.560000000056</v>
      </c>
      <c r="O105" s="21">
        <f t="shared" si="3"/>
        <v>0.9636840176084378</v>
      </c>
      <c r="P105" s="22" t="s">
        <v>233</v>
      </c>
    </row>
    <row r="106" spans="1:16" s="23" customFormat="1" ht="11.25" customHeight="1" outlineLevel="2">
      <c r="A106" s="26" t="s">
        <v>21</v>
      </c>
      <c r="B106" s="20">
        <v>74670</v>
      </c>
      <c r="C106" s="20">
        <v>74670</v>
      </c>
      <c r="D106" s="20">
        <v>6220</v>
      </c>
      <c r="E106" s="20">
        <v>60870</v>
      </c>
      <c r="F106" s="20">
        <v>60870</v>
      </c>
      <c r="G106" s="27"/>
      <c r="H106" s="20">
        <v>60870</v>
      </c>
      <c r="I106" s="20">
        <v>12491.98</v>
      </c>
      <c r="J106" s="27"/>
      <c r="K106" s="27"/>
      <c r="L106" s="20">
        <f>L107</f>
        <v>59362.46</v>
      </c>
      <c r="M106" s="20"/>
      <c r="N106" s="20">
        <f t="shared" si="4"/>
        <v>1507.5400000000009</v>
      </c>
      <c r="O106" s="21">
        <f t="shared" si="3"/>
        <v>0.9752334483325119</v>
      </c>
      <c r="P106" s="22"/>
    </row>
    <row r="107" spans="1:16" s="23" customFormat="1" ht="11.25" customHeight="1" outlineLevel="3">
      <c r="A107" s="28" t="s">
        <v>59</v>
      </c>
      <c r="B107" s="20">
        <v>74670</v>
      </c>
      <c r="C107" s="20">
        <v>74670</v>
      </c>
      <c r="D107" s="20">
        <v>6220</v>
      </c>
      <c r="E107" s="20">
        <v>60870</v>
      </c>
      <c r="F107" s="20">
        <v>60870</v>
      </c>
      <c r="G107" s="27"/>
      <c r="H107" s="20">
        <v>60870</v>
      </c>
      <c r="I107" s="20">
        <v>12491.98</v>
      </c>
      <c r="J107" s="27"/>
      <c r="K107" s="27"/>
      <c r="L107" s="20">
        <v>59362.46</v>
      </c>
      <c r="M107" s="20"/>
      <c r="N107" s="20">
        <f t="shared" si="4"/>
        <v>1507.5400000000009</v>
      </c>
      <c r="O107" s="21">
        <f t="shared" si="3"/>
        <v>0.9752334483325119</v>
      </c>
      <c r="P107" s="22" t="s">
        <v>234</v>
      </c>
    </row>
    <row r="108" spans="1:16" s="23" customFormat="1" ht="11.25" customHeight="1" outlineLevel="2">
      <c r="A108" s="26" t="s">
        <v>23</v>
      </c>
      <c r="B108" s="20">
        <v>7500000</v>
      </c>
      <c r="C108" s="20">
        <v>7500000</v>
      </c>
      <c r="D108" s="27"/>
      <c r="E108" s="20">
        <v>21078471</v>
      </c>
      <c r="F108" s="20">
        <v>21078471</v>
      </c>
      <c r="G108" s="27"/>
      <c r="H108" s="20">
        <v>20955681</v>
      </c>
      <c r="I108" s="20">
        <v>9024612.62</v>
      </c>
      <c r="J108" s="20">
        <v>122790</v>
      </c>
      <c r="K108" s="20">
        <v>122790</v>
      </c>
      <c r="L108" s="20">
        <f>SUM(L109:L111)</f>
        <v>19834337.38</v>
      </c>
      <c r="M108" s="20"/>
      <c r="N108" s="20">
        <f t="shared" si="4"/>
        <v>1244133.620000001</v>
      </c>
      <c r="O108" s="21">
        <f t="shared" si="3"/>
        <v>0.9409760973649369</v>
      </c>
      <c r="P108" s="22"/>
    </row>
    <row r="109" spans="1:16" s="23" customFormat="1" ht="46.5" customHeight="1" outlineLevel="3">
      <c r="A109" s="28" t="s">
        <v>60</v>
      </c>
      <c r="B109" s="27"/>
      <c r="C109" s="27"/>
      <c r="D109" s="27"/>
      <c r="E109" s="20">
        <v>308060</v>
      </c>
      <c r="F109" s="20">
        <v>308060</v>
      </c>
      <c r="G109" s="27"/>
      <c r="H109" s="20">
        <v>185270</v>
      </c>
      <c r="I109" s="20">
        <v>185270</v>
      </c>
      <c r="J109" s="20">
        <v>122790</v>
      </c>
      <c r="K109" s="20">
        <v>122790</v>
      </c>
      <c r="L109" s="20">
        <v>185270</v>
      </c>
      <c r="M109" s="20"/>
      <c r="N109" s="20">
        <f t="shared" si="4"/>
        <v>122790</v>
      </c>
      <c r="O109" s="21">
        <f t="shared" si="3"/>
        <v>0.6014088164643251</v>
      </c>
      <c r="P109" s="22" t="s">
        <v>209</v>
      </c>
    </row>
    <row r="110" spans="1:16" s="23" customFormat="1" ht="68.25" customHeight="1" outlineLevel="3">
      <c r="A110" s="28" t="s">
        <v>30</v>
      </c>
      <c r="B110" s="27"/>
      <c r="C110" s="27"/>
      <c r="D110" s="27"/>
      <c r="E110" s="20">
        <v>130526</v>
      </c>
      <c r="F110" s="20">
        <v>130526</v>
      </c>
      <c r="G110" s="27"/>
      <c r="H110" s="20">
        <v>130526</v>
      </c>
      <c r="I110" s="20">
        <v>82959.62</v>
      </c>
      <c r="J110" s="27"/>
      <c r="K110" s="27"/>
      <c r="L110" s="20">
        <v>114566.38</v>
      </c>
      <c r="M110" s="20"/>
      <c r="N110" s="20">
        <f t="shared" si="4"/>
        <v>15959.619999999995</v>
      </c>
      <c r="O110" s="21">
        <f t="shared" si="3"/>
        <v>0.8777284219236015</v>
      </c>
      <c r="P110" s="43" t="s">
        <v>241</v>
      </c>
    </row>
    <row r="111" spans="1:16" s="23" customFormat="1" ht="22.5" customHeight="1" outlineLevel="3">
      <c r="A111" s="28" t="s">
        <v>48</v>
      </c>
      <c r="B111" s="20">
        <v>7500000</v>
      </c>
      <c r="C111" s="20">
        <v>7500000</v>
      </c>
      <c r="D111" s="27"/>
      <c r="E111" s="20">
        <v>20639885</v>
      </c>
      <c r="F111" s="20">
        <v>20639885</v>
      </c>
      <c r="G111" s="27"/>
      <c r="H111" s="20">
        <v>20639885</v>
      </c>
      <c r="I111" s="20">
        <v>8756383</v>
      </c>
      <c r="J111" s="27"/>
      <c r="K111" s="27"/>
      <c r="L111" s="20">
        <f>16740663.62+2793837.38</f>
        <v>19534501</v>
      </c>
      <c r="M111" s="20"/>
      <c r="N111" s="20">
        <f t="shared" si="4"/>
        <v>1105384</v>
      </c>
      <c r="O111" s="21">
        <f t="shared" si="3"/>
        <v>0.9464442752466886</v>
      </c>
      <c r="P111" s="22" t="s">
        <v>235</v>
      </c>
    </row>
    <row r="112" spans="1:16" s="23" customFormat="1" ht="11.25" customHeight="1" outlineLevel="2">
      <c r="A112" s="26" t="s">
        <v>24</v>
      </c>
      <c r="B112" s="20">
        <v>22560098</v>
      </c>
      <c r="C112" s="20">
        <v>22560098</v>
      </c>
      <c r="D112" s="27"/>
      <c r="E112" s="20">
        <v>10856384.96</v>
      </c>
      <c r="F112" s="20">
        <v>10856384.96</v>
      </c>
      <c r="G112" s="20">
        <v>2835694.96</v>
      </c>
      <c r="H112" s="20">
        <v>10856384.96</v>
      </c>
      <c r="I112" s="20">
        <v>6255399.53</v>
      </c>
      <c r="J112" s="27"/>
      <c r="K112" s="27"/>
      <c r="L112" s="20">
        <f>SUM(L113:L117)</f>
        <v>8683269.35</v>
      </c>
      <c r="M112" s="20">
        <v>220.59</v>
      </c>
      <c r="N112" s="20">
        <f t="shared" si="4"/>
        <v>2173115.6100000013</v>
      </c>
      <c r="O112" s="21">
        <f t="shared" si="3"/>
        <v>0.7998306417829899</v>
      </c>
      <c r="P112" s="22"/>
    </row>
    <row r="113" spans="1:16" s="23" customFormat="1" ht="21.75" customHeight="1" outlineLevel="3">
      <c r="A113" s="28" t="s">
        <v>49</v>
      </c>
      <c r="B113" s="20">
        <v>1000000</v>
      </c>
      <c r="C113" s="20">
        <v>1000000</v>
      </c>
      <c r="D113" s="27"/>
      <c r="E113" s="20">
        <v>800000</v>
      </c>
      <c r="F113" s="20">
        <v>800000</v>
      </c>
      <c r="G113" s="27"/>
      <c r="H113" s="20">
        <v>800000</v>
      </c>
      <c r="I113" s="20">
        <v>800000</v>
      </c>
      <c r="J113" s="27"/>
      <c r="K113" s="27"/>
      <c r="L113" s="20">
        <v>176569.72</v>
      </c>
      <c r="M113" s="20"/>
      <c r="N113" s="20">
        <f t="shared" si="4"/>
        <v>623430.28</v>
      </c>
      <c r="O113" s="21">
        <f t="shared" si="3"/>
        <v>0.22071215</v>
      </c>
      <c r="P113" s="22" t="s">
        <v>236</v>
      </c>
    </row>
    <row r="114" spans="1:16" s="23" customFormat="1" ht="11.25" customHeight="1" outlineLevel="3">
      <c r="A114" s="28" t="s">
        <v>50</v>
      </c>
      <c r="B114" s="20">
        <v>15600098</v>
      </c>
      <c r="C114" s="20">
        <v>15600098</v>
      </c>
      <c r="D114" s="27"/>
      <c r="E114" s="20">
        <v>3915350.28</v>
      </c>
      <c r="F114" s="20">
        <v>3915350.28</v>
      </c>
      <c r="G114" s="27"/>
      <c r="H114" s="20">
        <v>3915350.28</v>
      </c>
      <c r="I114" s="20">
        <v>1845614.4</v>
      </c>
      <c r="J114" s="27"/>
      <c r="K114" s="27"/>
      <c r="L114" s="20">
        <v>3813935.78</v>
      </c>
      <c r="M114" s="20"/>
      <c r="N114" s="20">
        <f t="shared" si="4"/>
        <v>101414.5</v>
      </c>
      <c r="O114" s="21">
        <f t="shared" si="3"/>
        <v>0.9740982306185898</v>
      </c>
      <c r="P114" s="22" t="s">
        <v>227</v>
      </c>
    </row>
    <row r="115" spans="1:16" s="23" customFormat="1" ht="11.25" customHeight="1" outlineLevel="3">
      <c r="A115" s="28" t="s">
        <v>61</v>
      </c>
      <c r="B115" s="27"/>
      <c r="C115" s="27"/>
      <c r="D115" s="27"/>
      <c r="E115" s="20">
        <v>45339.72</v>
      </c>
      <c r="F115" s="20">
        <v>45339.72</v>
      </c>
      <c r="G115" s="27"/>
      <c r="H115" s="20">
        <v>45339.72</v>
      </c>
      <c r="I115" s="27"/>
      <c r="J115" s="27"/>
      <c r="K115" s="27"/>
      <c r="L115" s="20">
        <v>45339.72</v>
      </c>
      <c r="M115" s="20"/>
      <c r="N115" s="20">
        <f t="shared" si="4"/>
        <v>0</v>
      </c>
      <c r="O115" s="21">
        <f t="shared" si="3"/>
        <v>1</v>
      </c>
      <c r="P115" s="22"/>
    </row>
    <row r="116" spans="1:16" s="23" customFormat="1" ht="11.25" customHeight="1" outlineLevel="3">
      <c r="A116" s="28" t="s">
        <v>52</v>
      </c>
      <c r="B116" s="20">
        <v>3460000</v>
      </c>
      <c r="C116" s="20">
        <v>3460000</v>
      </c>
      <c r="D116" s="27"/>
      <c r="E116" s="27"/>
      <c r="F116" s="27"/>
      <c r="G116" s="27"/>
      <c r="H116" s="27"/>
      <c r="I116" s="27"/>
      <c r="J116" s="27"/>
      <c r="K116" s="27"/>
      <c r="L116" s="20"/>
      <c r="M116" s="20"/>
      <c r="N116" s="20">
        <f t="shared" si="4"/>
        <v>0</v>
      </c>
      <c r="O116" s="21">
        <v>0</v>
      </c>
      <c r="P116" s="22"/>
    </row>
    <row r="117" spans="1:16" s="23" customFormat="1" ht="79.5" customHeight="1" outlineLevel="3">
      <c r="A117" s="28" t="s">
        <v>56</v>
      </c>
      <c r="B117" s="20">
        <v>2500000</v>
      </c>
      <c r="C117" s="20">
        <v>2500000</v>
      </c>
      <c r="D117" s="27"/>
      <c r="E117" s="20">
        <v>6095694.96</v>
      </c>
      <c r="F117" s="20">
        <v>6095694.96</v>
      </c>
      <c r="G117" s="20">
        <v>2835694.96</v>
      </c>
      <c r="H117" s="20">
        <v>6095694.96</v>
      </c>
      <c r="I117" s="20">
        <v>3609785.13</v>
      </c>
      <c r="J117" s="27"/>
      <c r="K117" s="27"/>
      <c r="L117" s="20">
        <f>4657330.06-9905.93</f>
        <v>4647424.13</v>
      </c>
      <c r="M117" s="20">
        <v>127.3</v>
      </c>
      <c r="N117" s="20">
        <f t="shared" si="4"/>
        <v>1448270.83</v>
      </c>
      <c r="O117" s="21">
        <f t="shared" si="3"/>
        <v>0.7624108752974739</v>
      </c>
      <c r="P117" s="22" t="s">
        <v>198</v>
      </c>
    </row>
    <row r="118" spans="1:16" s="23" customFormat="1" ht="21.75" customHeight="1" outlineLevel="1">
      <c r="A118" s="24" t="s">
        <v>153</v>
      </c>
      <c r="B118" s="20">
        <v>6331615</v>
      </c>
      <c r="C118" s="20">
        <v>6331615</v>
      </c>
      <c r="D118" s="27"/>
      <c r="E118" s="20">
        <v>9491615</v>
      </c>
      <c r="F118" s="20">
        <v>9491615</v>
      </c>
      <c r="G118" s="20">
        <v>800000</v>
      </c>
      <c r="H118" s="20">
        <v>9469779.23</v>
      </c>
      <c r="I118" s="20">
        <v>1429418.49</v>
      </c>
      <c r="J118" s="20">
        <v>21835.77</v>
      </c>
      <c r="K118" s="20">
        <v>21835.77</v>
      </c>
      <c r="L118" s="20">
        <f>L119+L122+L124</f>
        <v>9073512.78</v>
      </c>
      <c r="M118" s="20">
        <v>178.68</v>
      </c>
      <c r="N118" s="20">
        <f t="shared" si="4"/>
        <v>418102.22000000067</v>
      </c>
      <c r="O118" s="21">
        <f t="shared" si="3"/>
        <v>0.9559503603970451</v>
      </c>
      <c r="P118" s="22"/>
    </row>
    <row r="119" spans="1:16" s="23" customFormat="1" ht="11.25" customHeight="1" outlineLevel="2">
      <c r="A119" s="26" t="s">
        <v>17</v>
      </c>
      <c r="B119" s="20">
        <v>1231615</v>
      </c>
      <c r="C119" s="20">
        <v>1231615</v>
      </c>
      <c r="D119" s="27"/>
      <c r="E119" s="20">
        <v>591615</v>
      </c>
      <c r="F119" s="20">
        <v>591615</v>
      </c>
      <c r="G119" s="27"/>
      <c r="H119" s="20">
        <v>591615</v>
      </c>
      <c r="I119" s="20">
        <v>54037.4</v>
      </c>
      <c r="J119" s="27"/>
      <c r="K119" s="27"/>
      <c r="L119" s="20">
        <f>SUM(L120:L121)</f>
        <v>584772.33</v>
      </c>
      <c r="M119" s="20"/>
      <c r="N119" s="20">
        <f t="shared" si="4"/>
        <v>6842.670000000042</v>
      </c>
      <c r="O119" s="21">
        <f t="shared" si="3"/>
        <v>0.9884339139474151</v>
      </c>
      <c r="P119" s="22"/>
    </row>
    <row r="120" spans="1:16" s="23" customFormat="1" ht="36.75" customHeight="1" outlineLevel="3">
      <c r="A120" s="28" t="s">
        <v>30</v>
      </c>
      <c r="B120" s="27"/>
      <c r="C120" s="27"/>
      <c r="D120" s="27"/>
      <c r="E120" s="20">
        <v>10000</v>
      </c>
      <c r="F120" s="20">
        <v>10000</v>
      </c>
      <c r="G120" s="27"/>
      <c r="H120" s="20">
        <v>10000</v>
      </c>
      <c r="I120" s="20">
        <v>4574.36</v>
      </c>
      <c r="J120" s="27"/>
      <c r="K120" s="27"/>
      <c r="L120" s="20">
        <v>5425.64</v>
      </c>
      <c r="M120" s="20"/>
      <c r="N120" s="20">
        <f t="shared" si="4"/>
        <v>4574.36</v>
      </c>
      <c r="O120" s="21">
        <f t="shared" si="3"/>
        <v>0.542564</v>
      </c>
      <c r="P120" s="22" t="s">
        <v>208</v>
      </c>
    </row>
    <row r="121" spans="1:16" s="23" customFormat="1" ht="50.25" customHeight="1" outlineLevel="3">
      <c r="A121" s="28" t="s">
        <v>62</v>
      </c>
      <c r="B121" s="20">
        <v>1231615</v>
      </c>
      <c r="C121" s="20">
        <v>1231615</v>
      </c>
      <c r="D121" s="27"/>
      <c r="E121" s="20">
        <v>581615</v>
      </c>
      <c r="F121" s="20">
        <v>581615</v>
      </c>
      <c r="G121" s="27"/>
      <c r="H121" s="20">
        <v>581615</v>
      </c>
      <c r="I121" s="20">
        <v>49463.04</v>
      </c>
      <c r="J121" s="27"/>
      <c r="K121" s="27"/>
      <c r="L121" s="20">
        <v>579346.69</v>
      </c>
      <c r="M121" s="20"/>
      <c r="N121" s="20">
        <f t="shared" si="4"/>
        <v>2268.310000000056</v>
      </c>
      <c r="O121" s="21">
        <f t="shared" si="3"/>
        <v>0.9960999802274699</v>
      </c>
      <c r="P121" s="22" t="s">
        <v>207</v>
      </c>
    </row>
    <row r="122" spans="1:16" s="23" customFormat="1" ht="11.25" customHeight="1" outlineLevel="2">
      <c r="A122" s="26" t="s">
        <v>23</v>
      </c>
      <c r="B122" s="20">
        <v>200000</v>
      </c>
      <c r="C122" s="20">
        <v>200000</v>
      </c>
      <c r="D122" s="27"/>
      <c r="E122" s="20">
        <v>200000</v>
      </c>
      <c r="F122" s="20">
        <v>200000</v>
      </c>
      <c r="G122" s="27"/>
      <c r="H122" s="20">
        <v>178164.23</v>
      </c>
      <c r="I122" s="27"/>
      <c r="J122" s="20">
        <v>21835.77</v>
      </c>
      <c r="K122" s="20">
        <v>21835.77</v>
      </c>
      <c r="L122" s="20">
        <f>L123</f>
        <v>178164.23</v>
      </c>
      <c r="M122" s="20"/>
      <c r="N122" s="20">
        <f t="shared" si="4"/>
        <v>21835.76999999999</v>
      </c>
      <c r="O122" s="21">
        <f t="shared" si="3"/>
        <v>0.8908211500000001</v>
      </c>
      <c r="P122" s="22"/>
    </row>
    <row r="123" spans="1:16" s="23" customFormat="1" ht="47.25" customHeight="1" outlineLevel="3">
      <c r="A123" s="28" t="s">
        <v>62</v>
      </c>
      <c r="B123" s="20">
        <v>200000</v>
      </c>
      <c r="C123" s="20">
        <v>200000</v>
      </c>
      <c r="D123" s="27"/>
      <c r="E123" s="20">
        <v>200000</v>
      </c>
      <c r="F123" s="20">
        <v>200000</v>
      </c>
      <c r="G123" s="27"/>
      <c r="H123" s="20">
        <v>178164.23</v>
      </c>
      <c r="I123" s="27"/>
      <c r="J123" s="20">
        <v>21835.77</v>
      </c>
      <c r="K123" s="20">
        <v>21835.77</v>
      </c>
      <c r="L123" s="20">
        <v>178164.23</v>
      </c>
      <c r="M123" s="20"/>
      <c r="N123" s="20">
        <f t="shared" si="4"/>
        <v>21835.76999999999</v>
      </c>
      <c r="O123" s="21">
        <f t="shared" si="3"/>
        <v>0.8908211500000001</v>
      </c>
      <c r="P123" s="22" t="s">
        <v>205</v>
      </c>
    </row>
    <row r="124" spans="1:16" s="23" customFormat="1" ht="11.25" customHeight="1" outlineLevel="2">
      <c r="A124" s="26" t="s">
        <v>35</v>
      </c>
      <c r="B124" s="20">
        <v>4900000</v>
      </c>
      <c r="C124" s="20">
        <v>4900000</v>
      </c>
      <c r="D124" s="27"/>
      <c r="E124" s="20">
        <v>8700000</v>
      </c>
      <c r="F124" s="20">
        <v>8700000</v>
      </c>
      <c r="G124" s="20">
        <v>800000</v>
      </c>
      <c r="H124" s="20">
        <v>8700000</v>
      </c>
      <c r="I124" s="20">
        <v>1375381.09</v>
      </c>
      <c r="J124" s="27"/>
      <c r="K124" s="27"/>
      <c r="L124" s="20">
        <f>L125</f>
        <v>8310576.22</v>
      </c>
      <c r="M124" s="20">
        <v>171.92</v>
      </c>
      <c r="N124" s="20">
        <f t="shared" si="4"/>
        <v>389423.78000000026</v>
      </c>
      <c r="O124" s="21">
        <f t="shared" si="3"/>
        <v>0.9552386459770115</v>
      </c>
      <c r="P124" s="22"/>
    </row>
    <row r="125" spans="1:16" s="23" customFormat="1" ht="39.75" customHeight="1" outlineLevel="3">
      <c r="A125" s="28" t="s">
        <v>62</v>
      </c>
      <c r="B125" s="20">
        <v>4900000</v>
      </c>
      <c r="C125" s="20">
        <v>4900000</v>
      </c>
      <c r="D125" s="27"/>
      <c r="E125" s="20">
        <v>8700000</v>
      </c>
      <c r="F125" s="20">
        <v>8700000</v>
      </c>
      <c r="G125" s="20">
        <v>800000</v>
      </c>
      <c r="H125" s="20">
        <v>8700000</v>
      </c>
      <c r="I125" s="20">
        <v>1375381.09</v>
      </c>
      <c r="J125" s="27"/>
      <c r="K125" s="27"/>
      <c r="L125" s="20">
        <v>8310576.22</v>
      </c>
      <c r="M125" s="20">
        <v>171.92</v>
      </c>
      <c r="N125" s="20">
        <f t="shared" si="4"/>
        <v>389423.78000000026</v>
      </c>
      <c r="O125" s="21">
        <f t="shared" si="3"/>
        <v>0.9552386459770115</v>
      </c>
      <c r="P125" s="22" t="s">
        <v>206</v>
      </c>
    </row>
    <row r="126" spans="1:16" s="23" customFormat="1" ht="35.25" customHeight="1" outlineLevel="1">
      <c r="A126" s="24" t="s">
        <v>154</v>
      </c>
      <c r="B126" s="20">
        <v>43821080</v>
      </c>
      <c r="C126" s="20">
        <v>43821080</v>
      </c>
      <c r="D126" s="20">
        <v>2630020</v>
      </c>
      <c r="E126" s="20">
        <v>63357870.17</v>
      </c>
      <c r="F126" s="20">
        <v>63357870.17</v>
      </c>
      <c r="G126" s="20">
        <v>4286725</v>
      </c>
      <c r="H126" s="20">
        <v>63041800.09</v>
      </c>
      <c r="I126" s="20">
        <v>16237918.99</v>
      </c>
      <c r="J126" s="20">
        <v>316070.08</v>
      </c>
      <c r="K126" s="20">
        <v>316070.08</v>
      </c>
      <c r="L126" s="20">
        <f>L127+L130+L133+L136+L138</f>
        <v>57728624.58</v>
      </c>
      <c r="M126" s="20">
        <v>378.8</v>
      </c>
      <c r="N126" s="20">
        <f t="shared" si="4"/>
        <v>5629245.590000004</v>
      </c>
      <c r="O126" s="21">
        <f t="shared" si="3"/>
        <v>0.9111515968750878</v>
      </c>
      <c r="P126" s="22"/>
    </row>
    <row r="127" spans="1:16" s="23" customFormat="1" ht="11.25" customHeight="1" outlineLevel="2">
      <c r="A127" s="26" t="s">
        <v>17</v>
      </c>
      <c r="B127" s="20">
        <v>13692480</v>
      </c>
      <c r="C127" s="20">
        <v>13692480</v>
      </c>
      <c r="D127" s="20">
        <v>1170000</v>
      </c>
      <c r="E127" s="20">
        <v>20521159.82</v>
      </c>
      <c r="F127" s="20">
        <v>20521159.82</v>
      </c>
      <c r="G127" s="20">
        <v>2005000</v>
      </c>
      <c r="H127" s="20">
        <v>20521159.82</v>
      </c>
      <c r="I127" s="20">
        <v>2005000</v>
      </c>
      <c r="J127" s="27"/>
      <c r="K127" s="27"/>
      <c r="L127" s="20">
        <f>SUM(L128:L129)</f>
        <v>20510186.32</v>
      </c>
      <c r="M127" s="20">
        <v>100</v>
      </c>
      <c r="N127" s="20">
        <f t="shared" si="4"/>
        <v>10973.5</v>
      </c>
      <c r="O127" s="21">
        <f t="shared" si="3"/>
        <v>0.9994652592691518</v>
      </c>
      <c r="P127" s="22"/>
    </row>
    <row r="128" spans="1:16" s="23" customFormat="1" ht="11.25" customHeight="1" outlineLevel="3">
      <c r="A128" s="28" t="s">
        <v>63</v>
      </c>
      <c r="B128" s="20">
        <v>6314680</v>
      </c>
      <c r="C128" s="20">
        <v>6314680</v>
      </c>
      <c r="D128" s="20">
        <v>530000</v>
      </c>
      <c r="E128" s="20">
        <v>1716082.81</v>
      </c>
      <c r="F128" s="20">
        <v>1716082.81</v>
      </c>
      <c r="G128" s="27"/>
      <c r="H128" s="20">
        <v>1716082.81</v>
      </c>
      <c r="I128" s="27"/>
      <c r="J128" s="27"/>
      <c r="K128" s="27"/>
      <c r="L128" s="20">
        <v>1716082.81</v>
      </c>
      <c r="M128" s="20"/>
      <c r="N128" s="20">
        <f t="shared" si="4"/>
        <v>0</v>
      </c>
      <c r="O128" s="21">
        <f t="shared" si="3"/>
        <v>1</v>
      </c>
      <c r="P128" s="22"/>
    </row>
    <row r="129" spans="1:16" s="23" customFormat="1" ht="21.75" customHeight="1" outlineLevel="3">
      <c r="A129" s="28" t="s">
        <v>64</v>
      </c>
      <c r="B129" s="20">
        <v>7377800</v>
      </c>
      <c r="C129" s="20">
        <v>7377800</v>
      </c>
      <c r="D129" s="20">
        <v>640000</v>
      </c>
      <c r="E129" s="20">
        <v>18805077.01</v>
      </c>
      <c r="F129" s="20">
        <v>18805077.01</v>
      </c>
      <c r="G129" s="20">
        <v>2005000</v>
      </c>
      <c r="H129" s="20">
        <v>18805077.01</v>
      </c>
      <c r="I129" s="20">
        <v>2005000</v>
      </c>
      <c r="J129" s="27"/>
      <c r="K129" s="27"/>
      <c r="L129" s="20">
        <f>20510186.32-1716082.81</f>
        <v>18794103.51</v>
      </c>
      <c r="M129" s="20">
        <v>100</v>
      </c>
      <c r="N129" s="20">
        <f t="shared" si="4"/>
        <v>10973.5</v>
      </c>
      <c r="O129" s="21">
        <f t="shared" si="3"/>
        <v>0.9994164607784289</v>
      </c>
      <c r="P129" s="44" t="s">
        <v>242</v>
      </c>
    </row>
    <row r="130" spans="1:16" s="23" customFormat="1" ht="11.25" customHeight="1" outlineLevel="2">
      <c r="A130" s="26" t="s">
        <v>20</v>
      </c>
      <c r="B130" s="20">
        <v>24467400</v>
      </c>
      <c r="C130" s="20">
        <v>24467400</v>
      </c>
      <c r="D130" s="20">
        <v>1112720</v>
      </c>
      <c r="E130" s="20">
        <v>27046802.05</v>
      </c>
      <c r="F130" s="20">
        <v>27046802.05</v>
      </c>
      <c r="G130" s="20">
        <v>1198425</v>
      </c>
      <c r="H130" s="20">
        <v>27046802.05</v>
      </c>
      <c r="I130" s="20">
        <v>2929392.83</v>
      </c>
      <c r="J130" s="27"/>
      <c r="K130" s="27"/>
      <c r="L130" s="20">
        <f>SUM(L131:L132)</f>
        <v>25837477.54</v>
      </c>
      <c r="M130" s="20">
        <v>244.44</v>
      </c>
      <c r="N130" s="20">
        <f t="shared" si="4"/>
        <v>1209324.5100000016</v>
      </c>
      <c r="O130" s="21">
        <f t="shared" si="3"/>
        <v>0.9552877080342295</v>
      </c>
      <c r="P130" s="22"/>
    </row>
    <row r="131" spans="1:16" s="23" customFormat="1" ht="23.25" customHeight="1" outlineLevel="3">
      <c r="A131" s="28" t="s">
        <v>65</v>
      </c>
      <c r="B131" s="20">
        <v>14427720</v>
      </c>
      <c r="C131" s="20">
        <v>14427720</v>
      </c>
      <c r="D131" s="20">
        <v>277720</v>
      </c>
      <c r="E131" s="20">
        <v>23835801.87</v>
      </c>
      <c r="F131" s="20">
        <v>23835801.87</v>
      </c>
      <c r="G131" s="20">
        <v>1198425</v>
      </c>
      <c r="H131" s="20">
        <v>23835801.87</v>
      </c>
      <c r="I131" s="20">
        <v>2929392.83</v>
      </c>
      <c r="J131" s="27"/>
      <c r="K131" s="27"/>
      <c r="L131" s="20">
        <v>22626477.36</v>
      </c>
      <c r="M131" s="20">
        <v>244.44</v>
      </c>
      <c r="N131" s="20">
        <f t="shared" si="4"/>
        <v>1209324.5100000016</v>
      </c>
      <c r="O131" s="21">
        <f t="shared" si="3"/>
        <v>0.9492643664100066</v>
      </c>
      <c r="P131" s="22" t="s">
        <v>233</v>
      </c>
    </row>
    <row r="132" spans="1:16" s="23" customFormat="1" ht="21.75" customHeight="1" outlineLevel="3">
      <c r="A132" s="28" t="s">
        <v>66</v>
      </c>
      <c r="B132" s="20">
        <v>10039680</v>
      </c>
      <c r="C132" s="20">
        <v>10039680</v>
      </c>
      <c r="D132" s="20">
        <v>835000</v>
      </c>
      <c r="E132" s="20">
        <v>3211000.18</v>
      </c>
      <c r="F132" s="20">
        <v>3211000.18</v>
      </c>
      <c r="G132" s="27"/>
      <c r="H132" s="20">
        <v>3211000.18</v>
      </c>
      <c r="I132" s="27"/>
      <c r="J132" s="27"/>
      <c r="K132" s="27"/>
      <c r="L132" s="20">
        <v>3211000.18</v>
      </c>
      <c r="M132" s="20"/>
      <c r="N132" s="20">
        <f t="shared" si="4"/>
        <v>0</v>
      </c>
      <c r="O132" s="21">
        <f t="shared" si="3"/>
        <v>1</v>
      </c>
      <c r="P132" s="22"/>
    </row>
    <row r="133" spans="1:16" s="23" customFormat="1" ht="11.25" customHeight="1" outlineLevel="2">
      <c r="A133" s="26" t="s">
        <v>32</v>
      </c>
      <c r="B133" s="20">
        <v>3661200</v>
      </c>
      <c r="C133" s="20">
        <v>3661200</v>
      </c>
      <c r="D133" s="20">
        <v>347300</v>
      </c>
      <c r="E133" s="20">
        <v>4398200</v>
      </c>
      <c r="F133" s="20">
        <v>4398200</v>
      </c>
      <c r="G133" s="20">
        <v>959300</v>
      </c>
      <c r="H133" s="20">
        <v>4392129.92</v>
      </c>
      <c r="I133" s="20">
        <v>1084621.27</v>
      </c>
      <c r="J133" s="20">
        <v>6070.08</v>
      </c>
      <c r="K133" s="20">
        <v>6070.08</v>
      </c>
      <c r="L133" s="20">
        <f>L134+L135</f>
        <v>4392129.92</v>
      </c>
      <c r="M133" s="20">
        <v>113.06</v>
      </c>
      <c r="N133" s="20">
        <f t="shared" si="4"/>
        <v>6070.0800000000745</v>
      </c>
      <c r="O133" s="21">
        <f t="shared" si="3"/>
        <v>0.9986198717657223</v>
      </c>
      <c r="P133" s="22"/>
    </row>
    <row r="134" spans="1:16" s="23" customFormat="1" ht="57" customHeight="1" outlineLevel="3">
      <c r="A134" s="28" t="s">
        <v>67</v>
      </c>
      <c r="B134" s="20">
        <v>3661200</v>
      </c>
      <c r="C134" s="20">
        <v>3661200</v>
      </c>
      <c r="D134" s="20">
        <v>347300</v>
      </c>
      <c r="E134" s="20">
        <v>4373200</v>
      </c>
      <c r="F134" s="20">
        <v>4373200</v>
      </c>
      <c r="G134" s="20">
        <v>959300</v>
      </c>
      <c r="H134" s="20">
        <v>4367129.92</v>
      </c>
      <c r="I134" s="20">
        <v>1084621.27</v>
      </c>
      <c r="J134" s="20">
        <v>6070.08</v>
      </c>
      <c r="K134" s="20">
        <v>6070.08</v>
      </c>
      <c r="L134" s="20">
        <f>4392129.92-25000</f>
        <v>4367129.92</v>
      </c>
      <c r="M134" s="20">
        <v>113.06</v>
      </c>
      <c r="N134" s="20">
        <f t="shared" si="4"/>
        <v>6070.0800000000745</v>
      </c>
      <c r="O134" s="21">
        <f t="shared" si="3"/>
        <v>0.9986119820726241</v>
      </c>
      <c r="P134" s="45" t="s">
        <v>213</v>
      </c>
    </row>
    <row r="135" spans="1:16" s="23" customFormat="1" ht="11.25" customHeight="1" outlineLevel="3">
      <c r="A135" s="28" t="s">
        <v>30</v>
      </c>
      <c r="B135" s="27"/>
      <c r="C135" s="27"/>
      <c r="D135" s="27"/>
      <c r="E135" s="20">
        <v>25000</v>
      </c>
      <c r="F135" s="20">
        <v>25000</v>
      </c>
      <c r="G135" s="27"/>
      <c r="H135" s="20">
        <v>25000</v>
      </c>
      <c r="I135" s="27"/>
      <c r="J135" s="27"/>
      <c r="K135" s="27"/>
      <c r="L135" s="20">
        <v>25000</v>
      </c>
      <c r="M135" s="20"/>
      <c r="N135" s="20">
        <f t="shared" si="4"/>
        <v>0</v>
      </c>
      <c r="O135" s="21">
        <f aca="true" t="shared" si="5" ref="O135:O198">L135/E135</f>
        <v>1</v>
      </c>
      <c r="P135" s="22"/>
    </row>
    <row r="136" spans="1:16" s="23" customFormat="1" ht="11.25" customHeight="1" outlineLevel="2">
      <c r="A136" s="26" t="s">
        <v>22</v>
      </c>
      <c r="B136" s="27"/>
      <c r="C136" s="27"/>
      <c r="D136" s="27"/>
      <c r="E136" s="20">
        <v>2918.13</v>
      </c>
      <c r="F136" s="20">
        <v>2918.13</v>
      </c>
      <c r="G136" s="27"/>
      <c r="H136" s="20">
        <v>2918.13</v>
      </c>
      <c r="I136" s="27"/>
      <c r="J136" s="27"/>
      <c r="K136" s="27"/>
      <c r="L136" s="20">
        <f>L137</f>
        <v>1459.07</v>
      </c>
      <c r="M136" s="20"/>
      <c r="N136" s="20">
        <f t="shared" si="4"/>
        <v>1459.0600000000002</v>
      </c>
      <c r="O136" s="21">
        <f t="shared" si="5"/>
        <v>0.5000017134260639</v>
      </c>
      <c r="P136" s="22"/>
    </row>
    <row r="137" spans="1:16" s="23" customFormat="1" ht="24.75" customHeight="1" outlineLevel="3">
      <c r="A137" s="28" t="s">
        <v>65</v>
      </c>
      <c r="B137" s="27"/>
      <c r="C137" s="27"/>
      <c r="D137" s="27"/>
      <c r="E137" s="20">
        <v>2918.13</v>
      </c>
      <c r="F137" s="20">
        <v>2918.13</v>
      </c>
      <c r="G137" s="27"/>
      <c r="H137" s="20">
        <v>2918.13</v>
      </c>
      <c r="I137" s="27"/>
      <c r="J137" s="27"/>
      <c r="K137" s="27"/>
      <c r="L137" s="20">
        <v>1459.07</v>
      </c>
      <c r="M137" s="20"/>
      <c r="N137" s="20">
        <f t="shared" si="4"/>
        <v>1459.0600000000002</v>
      </c>
      <c r="O137" s="21">
        <f t="shared" si="5"/>
        <v>0.5000017134260639</v>
      </c>
      <c r="P137" s="22" t="s">
        <v>243</v>
      </c>
    </row>
    <row r="138" spans="1:16" s="23" customFormat="1" ht="11.25" customHeight="1" outlineLevel="2">
      <c r="A138" s="26" t="s">
        <v>24</v>
      </c>
      <c r="B138" s="20">
        <v>2000000</v>
      </c>
      <c r="C138" s="20">
        <v>2000000</v>
      </c>
      <c r="D138" s="27"/>
      <c r="E138" s="20">
        <v>11388790.17</v>
      </c>
      <c r="F138" s="20">
        <v>11388790.17</v>
      </c>
      <c r="G138" s="20">
        <v>124000</v>
      </c>
      <c r="H138" s="20">
        <v>11078790.17</v>
      </c>
      <c r="I138" s="20">
        <v>10218904.89</v>
      </c>
      <c r="J138" s="20">
        <v>310000</v>
      </c>
      <c r="K138" s="20">
        <v>310000</v>
      </c>
      <c r="L138" s="20">
        <f>SUM(L139:L140)</f>
        <v>6987371.73</v>
      </c>
      <c r="M138" s="20">
        <v>8241.05</v>
      </c>
      <c r="N138" s="20">
        <f t="shared" si="4"/>
        <v>4401418.4399999995</v>
      </c>
      <c r="O138" s="21">
        <f t="shared" si="5"/>
        <v>0.6135306407177401</v>
      </c>
      <c r="P138" s="22"/>
    </row>
    <row r="139" spans="1:16" s="23" customFormat="1" ht="66" customHeight="1" outlineLevel="3">
      <c r="A139" s="46" t="s">
        <v>143</v>
      </c>
      <c r="B139" s="27"/>
      <c r="C139" s="27"/>
      <c r="D139" s="27"/>
      <c r="E139" s="47">
        <v>310000</v>
      </c>
      <c r="F139" s="47">
        <v>310000</v>
      </c>
      <c r="G139" s="47">
        <v>124000</v>
      </c>
      <c r="H139" s="48"/>
      <c r="I139" s="48"/>
      <c r="J139" s="47">
        <v>310000</v>
      </c>
      <c r="K139" s="47">
        <v>310000</v>
      </c>
      <c r="L139" s="47">
        <v>0</v>
      </c>
      <c r="M139" s="47"/>
      <c r="N139" s="20">
        <f t="shared" si="4"/>
        <v>310000</v>
      </c>
      <c r="O139" s="21">
        <f t="shared" si="5"/>
        <v>0</v>
      </c>
      <c r="P139" s="22" t="s">
        <v>199</v>
      </c>
    </row>
    <row r="140" spans="1:16" s="23" customFormat="1" ht="72" customHeight="1" outlineLevel="3">
      <c r="A140" s="28" t="s">
        <v>68</v>
      </c>
      <c r="B140" s="20">
        <v>2000000</v>
      </c>
      <c r="C140" s="20">
        <v>2000000</v>
      </c>
      <c r="D140" s="27"/>
      <c r="E140" s="20">
        <v>11078790.17</v>
      </c>
      <c r="F140" s="20">
        <v>11078790.17</v>
      </c>
      <c r="G140" s="27"/>
      <c r="H140" s="20">
        <v>11078790.17</v>
      </c>
      <c r="I140" s="20">
        <v>10218904.89</v>
      </c>
      <c r="J140" s="27"/>
      <c r="K140" s="27"/>
      <c r="L140" s="20">
        <v>6987371.73</v>
      </c>
      <c r="M140" s="20"/>
      <c r="N140" s="20">
        <f t="shared" si="4"/>
        <v>4091418.4399999995</v>
      </c>
      <c r="O140" s="21">
        <f t="shared" si="5"/>
        <v>0.6306980837060118</v>
      </c>
      <c r="P140" s="22" t="s">
        <v>197</v>
      </c>
    </row>
    <row r="141" spans="1:16" s="23" customFormat="1" ht="93.75" customHeight="1" outlineLevel="1">
      <c r="A141" s="24" t="s">
        <v>155</v>
      </c>
      <c r="B141" s="27"/>
      <c r="C141" s="27"/>
      <c r="D141" s="27"/>
      <c r="E141" s="20">
        <v>43653642</v>
      </c>
      <c r="F141" s="20">
        <v>43653642</v>
      </c>
      <c r="G141" s="27"/>
      <c r="H141" s="20">
        <v>5123472</v>
      </c>
      <c r="I141" s="20">
        <v>5123472</v>
      </c>
      <c r="J141" s="20">
        <v>38530170</v>
      </c>
      <c r="K141" s="20">
        <v>38530170</v>
      </c>
      <c r="L141" s="20">
        <f>L142</f>
        <v>0</v>
      </c>
      <c r="M141" s="20"/>
      <c r="N141" s="20">
        <f t="shared" si="4"/>
        <v>43653642</v>
      </c>
      <c r="O141" s="21">
        <f t="shared" si="5"/>
        <v>0</v>
      </c>
      <c r="P141" s="49"/>
    </row>
    <row r="142" spans="1:16" s="23" customFormat="1" ht="11.25" customHeight="1" outlineLevel="2">
      <c r="A142" s="26" t="s">
        <v>32</v>
      </c>
      <c r="B142" s="27"/>
      <c r="C142" s="27"/>
      <c r="D142" s="27"/>
      <c r="E142" s="20">
        <v>43653642</v>
      </c>
      <c r="F142" s="20">
        <v>43653642</v>
      </c>
      <c r="G142" s="27"/>
      <c r="H142" s="20">
        <v>5123472</v>
      </c>
      <c r="I142" s="20">
        <v>5123472</v>
      </c>
      <c r="J142" s="20">
        <v>38530170</v>
      </c>
      <c r="K142" s="20">
        <v>38530170</v>
      </c>
      <c r="L142" s="20">
        <v>0</v>
      </c>
      <c r="M142" s="20"/>
      <c r="N142" s="20">
        <f t="shared" si="4"/>
        <v>43653642</v>
      </c>
      <c r="O142" s="21">
        <f t="shared" si="5"/>
        <v>0</v>
      </c>
      <c r="P142" s="49"/>
    </row>
    <row r="143" spans="1:16" s="23" customFormat="1" ht="136.5" customHeight="1" outlineLevel="3">
      <c r="A143" s="28" t="s">
        <v>69</v>
      </c>
      <c r="B143" s="27"/>
      <c r="C143" s="27"/>
      <c r="D143" s="27"/>
      <c r="E143" s="20">
        <v>43653642</v>
      </c>
      <c r="F143" s="20">
        <v>43653642</v>
      </c>
      <c r="G143" s="27"/>
      <c r="H143" s="20">
        <v>5123472</v>
      </c>
      <c r="I143" s="20">
        <v>5123472</v>
      </c>
      <c r="J143" s="20">
        <v>38530170</v>
      </c>
      <c r="K143" s="20">
        <v>38530170</v>
      </c>
      <c r="L143" s="20">
        <v>0</v>
      </c>
      <c r="M143" s="20"/>
      <c r="N143" s="20">
        <f t="shared" si="4"/>
        <v>43653642</v>
      </c>
      <c r="O143" s="21">
        <f t="shared" si="5"/>
        <v>0</v>
      </c>
      <c r="P143" s="49" t="s">
        <v>200</v>
      </c>
    </row>
    <row r="144" spans="1:16" s="23" customFormat="1" ht="11.25" customHeight="1" outlineLevel="1">
      <c r="A144" s="24" t="s">
        <v>156</v>
      </c>
      <c r="B144" s="20">
        <v>43715938</v>
      </c>
      <c r="C144" s="20">
        <v>43715938</v>
      </c>
      <c r="D144" s="27"/>
      <c r="E144" s="20">
        <v>30567584.43</v>
      </c>
      <c r="F144" s="20">
        <v>30567584.43</v>
      </c>
      <c r="G144" s="20">
        <v>32000</v>
      </c>
      <c r="H144" s="20">
        <v>21250109.68</v>
      </c>
      <c r="I144" s="20">
        <v>10714971.11</v>
      </c>
      <c r="J144" s="20">
        <v>9317474.75</v>
      </c>
      <c r="K144" s="20">
        <v>9317474.75</v>
      </c>
      <c r="L144" s="20">
        <f>L145+L173+L178</f>
        <v>16497442.079999998</v>
      </c>
      <c r="M144" s="20">
        <v>33484.28</v>
      </c>
      <c r="N144" s="20">
        <f t="shared" si="4"/>
        <v>14070142.350000001</v>
      </c>
      <c r="O144" s="21">
        <f t="shared" si="5"/>
        <v>0.5397038198350042</v>
      </c>
      <c r="P144" s="22"/>
    </row>
    <row r="145" spans="1:16" s="23" customFormat="1" ht="11.25" customHeight="1" outlineLevel="2">
      <c r="A145" s="26" t="s">
        <v>70</v>
      </c>
      <c r="B145" s="20">
        <v>31485227</v>
      </c>
      <c r="C145" s="20">
        <v>31485227</v>
      </c>
      <c r="D145" s="27"/>
      <c r="E145" s="20">
        <v>23521147.71</v>
      </c>
      <c r="F145" s="20">
        <v>23521147.71</v>
      </c>
      <c r="G145" s="20">
        <v>32000</v>
      </c>
      <c r="H145" s="20">
        <v>16760371.52</v>
      </c>
      <c r="I145" s="20">
        <v>8944510.13</v>
      </c>
      <c r="J145" s="20">
        <v>6760776.19</v>
      </c>
      <c r="K145" s="20">
        <v>6760776.19</v>
      </c>
      <c r="L145" s="20">
        <f>SUM(L146:L172)</f>
        <v>12253478.909999998</v>
      </c>
      <c r="M145" s="20">
        <v>27951.59</v>
      </c>
      <c r="N145" s="20">
        <f t="shared" si="4"/>
        <v>11267668.800000003</v>
      </c>
      <c r="O145" s="21">
        <f t="shared" si="5"/>
        <v>0.5209558249910755</v>
      </c>
      <c r="P145" s="22"/>
    </row>
    <row r="146" spans="1:16" s="23" customFormat="1" ht="57.75" customHeight="1" outlineLevel="3">
      <c r="A146" s="28" t="s">
        <v>71</v>
      </c>
      <c r="B146" s="20">
        <v>1900000</v>
      </c>
      <c r="C146" s="20">
        <v>1900000</v>
      </c>
      <c r="D146" s="27"/>
      <c r="E146" s="20">
        <v>2834195</v>
      </c>
      <c r="F146" s="20">
        <v>2834195</v>
      </c>
      <c r="G146" s="27"/>
      <c r="H146" s="20">
        <v>2834195</v>
      </c>
      <c r="I146" s="20">
        <v>1386444.43</v>
      </c>
      <c r="J146" s="27"/>
      <c r="K146" s="27"/>
      <c r="L146" s="20">
        <v>2460835.94</v>
      </c>
      <c r="M146" s="20"/>
      <c r="N146" s="20">
        <f t="shared" si="4"/>
        <v>373359.06000000006</v>
      </c>
      <c r="O146" s="21">
        <f t="shared" si="5"/>
        <v>0.8682662766676251</v>
      </c>
      <c r="P146" s="22" t="s">
        <v>196</v>
      </c>
    </row>
    <row r="147" spans="1:16" s="23" customFormat="1" ht="21.75" customHeight="1" outlineLevel="3">
      <c r="A147" s="28" t="s">
        <v>72</v>
      </c>
      <c r="B147" s="20">
        <v>1000000</v>
      </c>
      <c r="C147" s="20">
        <v>1000000</v>
      </c>
      <c r="D147" s="27"/>
      <c r="E147" s="20">
        <v>2588297</v>
      </c>
      <c r="F147" s="20">
        <v>2588297</v>
      </c>
      <c r="G147" s="27"/>
      <c r="H147" s="20">
        <v>2570945.93</v>
      </c>
      <c r="I147" s="20">
        <v>1768586.63</v>
      </c>
      <c r="J147" s="20">
        <v>17351.07</v>
      </c>
      <c r="K147" s="20">
        <v>17351.07</v>
      </c>
      <c r="L147" s="20">
        <f>49881.51+21377.79+1265162.44+499653.64+3770.55+731100-758114.04</f>
        <v>1812831.8899999997</v>
      </c>
      <c r="M147" s="20"/>
      <c r="N147" s="20">
        <f t="shared" si="4"/>
        <v>775465.1100000003</v>
      </c>
      <c r="O147" s="21">
        <f t="shared" si="5"/>
        <v>0.7003956230679863</v>
      </c>
      <c r="P147" s="22" t="s">
        <v>246</v>
      </c>
    </row>
    <row r="148" spans="1:16" s="23" customFormat="1" ht="21.75" customHeight="1" outlineLevel="3">
      <c r="A148" s="28" t="s">
        <v>73</v>
      </c>
      <c r="B148" s="20">
        <v>200000</v>
      </c>
      <c r="C148" s="20">
        <v>200000</v>
      </c>
      <c r="D148" s="27"/>
      <c r="E148" s="27"/>
      <c r="F148" s="27"/>
      <c r="G148" s="27"/>
      <c r="H148" s="27"/>
      <c r="I148" s="27"/>
      <c r="J148" s="27"/>
      <c r="K148" s="27"/>
      <c r="L148" s="20">
        <v>0</v>
      </c>
      <c r="M148" s="20"/>
      <c r="N148" s="20">
        <f t="shared" si="4"/>
        <v>0</v>
      </c>
      <c r="O148" s="21">
        <v>0</v>
      </c>
      <c r="P148" s="22"/>
    </row>
    <row r="149" spans="1:16" s="23" customFormat="1" ht="49.5" customHeight="1" outlineLevel="3">
      <c r="A149" s="28" t="s">
        <v>74</v>
      </c>
      <c r="B149" s="27"/>
      <c r="C149" s="27"/>
      <c r="D149" s="27"/>
      <c r="E149" s="20">
        <v>3000000</v>
      </c>
      <c r="F149" s="20">
        <v>3000000</v>
      </c>
      <c r="G149" s="27"/>
      <c r="H149" s="20">
        <v>3000000</v>
      </c>
      <c r="I149" s="20">
        <v>2993727.12</v>
      </c>
      <c r="J149" s="27"/>
      <c r="K149" s="27"/>
      <c r="L149" s="20">
        <v>10582.08</v>
      </c>
      <c r="M149" s="20"/>
      <c r="N149" s="20">
        <f>E149-L149</f>
        <v>2989417.92</v>
      </c>
      <c r="O149" s="21">
        <f t="shared" si="5"/>
        <v>0.00352736</v>
      </c>
      <c r="P149" s="22" t="s">
        <v>172</v>
      </c>
    </row>
    <row r="150" spans="1:16" s="23" customFormat="1" ht="21.75" customHeight="1" outlineLevel="3">
      <c r="A150" s="28" t="s">
        <v>75</v>
      </c>
      <c r="B150" s="20">
        <v>600000</v>
      </c>
      <c r="C150" s="20">
        <v>600000</v>
      </c>
      <c r="D150" s="27"/>
      <c r="E150" s="20">
        <v>600000</v>
      </c>
      <c r="F150" s="20">
        <v>600000</v>
      </c>
      <c r="G150" s="27"/>
      <c r="H150" s="20">
        <v>306000</v>
      </c>
      <c r="I150" s="27"/>
      <c r="J150" s="20">
        <v>294000</v>
      </c>
      <c r="K150" s="20">
        <v>294000</v>
      </c>
      <c r="L150" s="20">
        <f>180000+126000</f>
        <v>306000</v>
      </c>
      <c r="M150" s="20"/>
      <c r="N150" s="20" t="s">
        <v>173</v>
      </c>
      <c r="O150" s="21">
        <f t="shared" si="5"/>
        <v>0.51</v>
      </c>
      <c r="P150" s="22" t="s">
        <v>186</v>
      </c>
    </row>
    <row r="151" spans="1:16" s="23" customFormat="1" ht="21.75" customHeight="1" outlineLevel="3">
      <c r="A151" s="28" t="s">
        <v>76</v>
      </c>
      <c r="B151" s="20">
        <v>2000000</v>
      </c>
      <c r="C151" s="20">
        <v>2000000</v>
      </c>
      <c r="D151" s="27"/>
      <c r="E151" s="27"/>
      <c r="F151" s="27"/>
      <c r="G151" s="27"/>
      <c r="H151" s="27"/>
      <c r="I151" s="27"/>
      <c r="J151" s="27"/>
      <c r="K151" s="27"/>
      <c r="L151" s="20">
        <v>0</v>
      </c>
      <c r="M151" s="20"/>
      <c r="N151" s="20">
        <f t="shared" si="4"/>
        <v>0</v>
      </c>
      <c r="O151" s="21">
        <v>0</v>
      </c>
      <c r="P151" s="22"/>
    </row>
    <row r="152" spans="1:16" s="23" customFormat="1" ht="21.75" customHeight="1" outlineLevel="3">
      <c r="A152" s="28" t="s">
        <v>77</v>
      </c>
      <c r="B152" s="20">
        <v>500000</v>
      </c>
      <c r="C152" s="20">
        <v>500000</v>
      </c>
      <c r="D152" s="27"/>
      <c r="E152" s="27"/>
      <c r="F152" s="27"/>
      <c r="G152" s="27"/>
      <c r="H152" s="27"/>
      <c r="I152" s="27"/>
      <c r="J152" s="27"/>
      <c r="K152" s="27"/>
      <c r="L152" s="20">
        <v>0</v>
      </c>
      <c r="M152" s="20"/>
      <c r="N152" s="20">
        <f t="shared" si="4"/>
        <v>0</v>
      </c>
      <c r="O152" s="21">
        <v>0</v>
      </c>
      <c r="P152" s="22"/>
    </row>
    <row r="153" spans="1:16" s="23" customFormat="1" ht="21.75" customHeight="1" outlineLevel="3">
      <c r="A153" s="28" t="s">
        <v>78</v>
      </c>
      <c r="B153" s="20">
        <v>14000000</v>
      </c>
      <c r="C153" s="20">
        <v>14000000</v>
      </c>
      <c r="D153" s="27"/>
      <c r="E153" s="20">
        <v>6497</v>
      </c>
      <c r="F153" s="20">
        <v>6497</v>
      </c>
      <c r="G153" s="27"/>
      <c r="H153" s="20">
        <v>6497</v>
      </c>
      <c r="I153" s="50">
        <v>-1731705.7</v>
      </c>
      <c r="J153" s="27"/>
      <c r="K153" s="27"/>
      <c r="L153" s="20">
        <f>6497+1731705.7-1731705.7</f>
        <v>6497</v>
      </c>
      <c r="M153" s="20"/>
      <c r="N153" s="20">
        <f t="shared" si="4"/>
        <v>0</v>
      </c>
      <c r="O153" s="21">
        <f t="shared" si="5"/>
        <v>1</v>
      </c>
      <c r="P153" s="22"/>
    </row>
    <row r="154" spans="1:16" s="23" customFormat="1" ht="32.25" customHeight="1" outlineLevel="3">
      <c r="A154" s="28" t="s">
        <v>79</v>
      </c>
      <c r="B154" s="20">
        <v>1382824</v>
      </c>
      <c r="C154" s="20">
        <v>1382824</v>
      </c>
      <c r="D154" s="27"/>
      <c r="E154" s="20">
        <v>1525613</v>
      </c>
      <c r="F154" s="20">
        <v>1525613</v>
      </c>
      <c r="G154" s="27"/>
      <c r="H154" s="20">
        <v>1385423.42</v>
      </c>
      <c r="I154" s="20">
        <v>434465.96</v>
      </c>
      <c r="J154" s="20">
        <v>140189.58</v>
      </c>
      <c r="K154" s="20">
        <v>140189.58</v>
      </c>
      <c r="L154" s="20">
        <f>442095.95+430915.96+3550+508861.51-0.46</f>
        <v>1385422.96</v>
      </c>
      <c r="M154" s="20"/>
      <c r="N154" s="20">
        <f t="shared" si="4"/>
        <v>140190.04000000004</v>
      </c>
      <c r="O154" s="21">
        <f t="shared" si="5"/>
        <v>0.9081090420703022</v>
      </c>
      <c r="P154" s="22" t="s">
        <v>187</v>
      </c>
    </row>
    <row r="155" spans="1:16" s="23" customFormat="1" ht="32.25" customHeight="1" outlineLevel="3">
      <c r="A155" s="28" t="s">
        <v>80</v>
      </c>
      <c r="B155" s="20">
        <v>500000</v>
      </c>
      <c r="C155" s="20">
        <v>500000</v>
      </c>
      <c r="D155" s="27"/>
      <c r="E155" s="27"/>
      <c r="F155" s="27"/>
      <c r="G155" s="27"/>
      <c r="H155" s="27"/>
      <c r="I155" s="27"/>
      <c r="J155" s="27"/>
      <c r="K155" s="27"/>
      <c r="L155" s="20">
        <v>0</v>
      </c>
      <c r="M155" s="20"/>
      <c r="N155" s="20">
        <f t="shared" si="4"/>
        <v>0</v>
      </c>
      <c r="O155" s="21">
        <v>0</v>
      </c>
      <c r="P155" s="22"/>
    </row>
    <row r="156" spans="1:16" s="23" customFormat="1" ht="74.25" customHeight="1" outlineLevel="3">
      <c r="A156" s="28" t="s">
        <v>81</v>
      </c>
      <c r="B156" s="20">
        <v>2262403</v>
      </c>
      <c r="C156" s="20">
        <v>2262403</v>
      </c>
      <c r="D156" s="27"/>
      <c r="E156" s="20">
        <v>46873.45</v>
      </c>
      <c r="F156" s="20">
        <v>46873.45</v>
      </c>
      <c r="G156" s="27"/>
      <c r="H156" s="20">
        <v>1168</v>
      </c>
      <c r="I156" s="27"/>
      <c r="J156" s="20">
        <v>45705.45</v>
      </c>
      <c r="K156" s="20">
        <v>45705.45</v>
      </c>
      <c r="L156" s="20">
        <v>1168</v>
      </c>
      <c r="M156" s="20"/>
      <c r="N156" s="20">
        <f t="shared" si="4"/>
        <v>45705.45</v>
      </c>
      <c r="O156" s="21">
        <f t="shared" si="5"/>
        <v>0.024918157293734516</v>
      </c>
      <c r="P156" s="22" t="s">
        <v>174</v>
      </c>
    </row>
    <row r="157" spans="1:16" s="23" customFormat="1" ht="36.75" customHeight="1" outlineLevel="3">
      <c r="A157" s="28" t="s">
        <v>82</v>
      </c>
      <c r="B157" s="27"/>
      <c r="C157" s="27"/>
      <c r="D157" s="27"/>
      <c r="E157" s="20">
        <v>634123</v>
      </c>
      <c r="F157" s="20">
        <v>634123</v>
      </c>
      <c r="G157" s="27"/>
      <c r="H157" s="20">
        <v>59940.39</v>
      </c>
      <c r="I157" s="27"/>
      <c r="J157" s="20">
        <v>574182.61</v>
      </c>
      <c r="K157" s="20">
        <v>574182.61</v>
      </c>
      <c r="L157" s="20">
        <v>59940.39</v>
      </c>
      <c r="M157" s="20"/>
      <c r="N157" s="20">
        <f t="shared" si="4"/>
        <v>574182.61</v>
      </c>
      <c r="O157" s="21">
        <f t="shared" si="5"/>
        <v>0.09452486347285936</v>
      </c>
      <c r="P157" s="22" t="s">
        <v>188</v>
      </c>
    </row>
    <row r="158" spans="1:16" s="23" customFormat="1" ht="32.25" customHeight="1" outlineLevel="3">
      <c r="A158" s="28" t="s">
        <v>83</v>
      </c>
      <c r="B158" s="27"/>
      <c r="C158" s="27"/>
      <c r="D158" s="27"/>
      <c r="E158" s="20">
        <v>1600000</v>
      </c>
      <c r="F158" s="20">
        <v>1600000</v>
      </c>
      <c r="G158" s="27"/>
      <c r="H158" s="20">
        <v>1401302.07</v>
      </c>
      <c r="I158" s="20">
        <v>965462.07</v>
      </c>
      <c r="J158" s="20">
        <v>198697.93</v>
      </c>
      <c r="K158" s="20">
        <v>198697.93</v>
      </c>
      <c r="L158" s="20">
        <f>965462.07+435840</f>
        <v>1401302.0699999998</v>
      </c>
      <c r="M158" s="20"/>
      <c r="N158" s="20">
        <f aca="true" t="shared" si="6" ref="N158:N221">E158-L158</f>
        <v>198697.93000000017</v>
      </c>
      <c r="O158" s="21">
        <f t="shared" si="5"/>
        <v>0.8758137937499999</v>
      </c>
      <c r="P158" s="22" t="s">
        <v>245</v>
      </c>
    </row>
    <row r="159" spans="1:16" s="23" customFormat="1" ht="47.25" customHeight="1" outlineLevel="3">
      <c r="A159" s="28" t="s">
        <v>84</v>
      </c>
      <c r="B159" s="27"/>
      <c r="C159" s="27"/>
      <c r="D159" s="27"/>
      <c r="E159" s="20">
        <v>29064.42</v>
      </c>
      <c r="F159" s="20">
        <v>29064.42</v>
      </c>
      <c r="G159" s="27"/>
      <c r="H159" s="20">
        <v>28616</v>
      </c>
      <c r="I159" s="20">
        <v>14083.79</v>
      </c>
      <c r="J159" s="25">
        <v>448.42</v>
      </c>
      <c r="K159" s="25">
        <v>448.42</v>
      </c>
      <c r="L159" s="20">
        <v>28616</v>
      </c>
      <c r="M159" s="20"/>
      <c r="N159" s="20">
        <f t="shared" si="6"/>
        <v>448.41999999999825</v>
      </c>
      <c r="O159" s="21">
        <f t="shared" si="5"/>
        <v>0.9845715138991248</v>
      </c>
      <c r="P159" s="22" t="s">
        <v>189</v>
      </c>
    </row>
    <row r="160" spans="1:16" s="23" customFormat="1" ht="46.5" customHeight="1" outlineLevel="3">
      <c r="A160" s="28" t="s">
        <v>85</v>
      </c>
      <c r="B160" s="27"/>
      <c r="C160" s="27"/>
      <c r="D160" s="27"/>
      <c r="E160" s="20">
        <v>29064.42</v>
      </c>
      <c r="F160" s="20">
        <v>29064.42</v>
      </c>
      <c r="G160" s="27"/>
      <c r="H160" s="20">
        <v>28616</v>
      </c>
      <c r="I160" s="20">
        <v>14083.79</v>
      </c>
      <c r="J160" s="25">
        <v>448.42</v>
      </c>
      <c r="K160" s="25">
        <v>448.42</v>
      </c>
      <c r="L160" s="20">
        <v>28616</v>
      </c>
      <c r="M160" s="20"/>
      <c r="N160" s="20">
        <f t="shared" si="6"/>
        <v>448.41999999999825</v>
      </c>
      <c r="O160" s="21">
        <f t="shared" si="5"/>
        <v>0.9845715138991248</v>
      </c>
      <c r="P160" s="22" t="s">
        <v>189</v>
      </c>
    </row>
    <row r="161" spans="1:16" s="23" customFormat="1" ht="32.25" customHeight="1" outlineLevel="3">
      <c r="A161" s="28" t="s">
        <v>86</v>
      </c>
      <c r="B161" s="27"/>
      <c r="C161" s="27"/>
      <c r="D161" s="27"/>
      <c r="E161" s="20">
        <v>180000</v>
      </c>
      <c r="F161" s="20">
        <v>180000</v>
      </c>
      <c r="G161" s="27"/>
      <c r="H161" s="20">
        <v>20675</v>
      </c>
      <c r="I161" s="50">
        <v>-12584</v>
      </c>
      <c r="J161" s="20">
        <v>159325</v>
      </c>
      <c r="K161" s="20">
        <v>159325</v>
      </c>
      <c r="L161" s="20">
        <f>33259-12584</f>
        <v>20675</v>
      </c>
      <c r="M161" s="20"/>
      <c r="N161" s="20">
        <f t="shared" si="6"/>
        <v>159325</v>
      </c>
      <c r="O161" s="21">
        <f t="shared" si="5"/>
        <v>0.11486111111111111</v>
      </c>
      <c r="P161" s="22" t="s">
        <v>190</v>
      </c>
    </row>
    <row r="162" spans="1:16" s="23" customFormat="1" ht="39.75" customHeight="1" outlineLevel="3">
      <c r="A162" s="28" t="s">
        <v>87</v>
      </c>
      <c r="B162" s="27"/>
      <c r="C162" s="27"/>
      <c r="D162" s="27"/>
      <c r="E162" s="20">
        <v>29064.42</v>
      </c>
      <c r="F162" s="20">
        <v>29064.42</v>
      </c>
      <c r="G162" s="27"/>
      <c r="H162" s="27"/>
      <c r="I162" s="27"/>
      <c r="J162" s="20">
        <v>29064.42</v>
      </c>
      <c r="K162" s="20">
        <v>29064.42</v>
      </c>
      <c r="L162" s="20">
        <v>0</v>
      </c>
      <c r="M162" s="20"/>
      <c r="N162" s="20">
        <f t="shared" si="6"/>
        <v>29064.42</v>
      </c>
      <c r="O162" s="21">
        <f t="shared" si="5"/>
        <v>0</v>
      </c>
      <c r="P162" s="22" t="s">
        <v>191</v>
      </c>
    </row>
    <row r="163" spans="1:16" s="23" customFormat="1" ht="51.75" customHeight="1" outlineLevel="3">
      <c r="A163" s="28" t="s">
        <v>88</v>
      </c>
      <c r="B163" s="27"/>
      <c r="C163" s="27"/>
      <c r="D163" s="27"/>
      <c r="E163" s="20">
        <v>4529414</v>
      </c>
      <c r="F163" s="20">
        <v>4529414</v>
      </c>
      <c r="G163" s="27"/>
      <c r="H163" s="20">
        <v>11267.11</v>
      </c>
      <c r="I163" s="27"/>
      <c r="J163" s="20">
        <v>4518146.89</v>
      </c>
      <c r="K163" s="20">
        <v>4518146.89</v>
      </c>
      <c r="L163" s="20">
        <f>13832.11</f>
        <v>13832.11</v>
      </c>
      <c r="M163" s="20"/>
      <c r="N163" s="20">
        <f t="shared" si="6"/>
        <v>4515581.89</v>
      </c>
      <c r="O163" s="21">
        <f t="shared" si="5"/>
        <v>0.0030538409604421233</v>
      </c>
      <c r="P163" s="22" t="s">
        <v>175</v>
      </c>
    </row>
    <row r="164" spans="1:16" s="23" customFormat="1" ht="34.5" customHeight="1" outlineLevel="3">
      <c r="A164" s="28" t="s">
        <v>89</v>
      </c>
      <c r="B164" s="27"/>
      <c r="C164" s="27"/>
      <c r="D164" s="27"/>
      <c r="E164" s="20">
        <v>2190114</v>
      </c>
      <c r="F164" s="20">
        <v>2190114</v>
      </c>
      <c r="G164" s="27"/>
      <c r="H164" s="20">
        <v>2181955.03</v>
      </c>
      <c r="I164" s="20">
        <v>2114114.3</v>
      </c>
      <c r="J164" s="20">
        <v>8158.97</v>
      </c>
      <c r="K164" s="20">
        <v>8158.97</v>
      </c>
      <c r="L164" s="20">
        <f>20352.22+47488.51+1472975.16+6156+13006.14+615000+6977</f>
        <v>2181955.03</v>
      </c>
      <c r="M164" s="20"/>
      <c r="N164" s="20">
        <f t="shared" si="6"/>
        <v>8158.970000000205</v>
      </c>
      <c r="O164" s="21">
        <f t="shared" si="5"/>
        <v>0.9962746368453879</v>
      </c>
      <c r="P164" s="22" t="s">
        <v>187</v>
      </c>
    </row>
    <row r="165" spans="1:16" s="23" customFormat="1" ht="45.75" customHeight="1" outlineLevel="3">
      <c r="A165" s="28" t="s">
        <v>90</v>
      </c>
      <c r="B165" s="20">
        <v>600000</v>
      </c>
      <c r="C165" s="20">
        <v>600000</v>
      </c>
      <c r="D165" s="27"/>
      <c r="E165" s="20">
        <v>36500</v>
      </c>
      <c r="F165" s="20">
        <v>36500</v>
      </c>
      <c r="G165" s="27"/>
      <c r="H165" s="20">
        <v>36304.09</v>
      </c>
      <c r="I165" s="20">
        <v>32656.93</v>
      </c>
      <c r="J165" s="25">
        <v>195.91</v>
      </c>
      <c r="K165" s="25">
        <v>195.91</v>
      </c>
      <c r="L165" s="20">
        <f>36304.09</f>
        <v>36304.09</v>
      </c>
      <c r="M165" s="20"/>
      <c r="N165" s="20">
        <f t="shared" si="6"/>
        <v>195.9100000000035</v>
      </c>
      <c r="O165" s="21">
        <f t="shared" si="5"/>
        <v>0.994632602739726</v>
      </c>
      <c r="P165" s="22" t="s">
        <v>176</v>
      </c>
    </row>
    <row r="166" spans="1:16" s="23" customFormat="1" ht="36" customHeight="1" outlineLevel="3">
      <c r="A166" s="28" t="s">
        <v>91</v>
      </c>
      <c r="B166" s="20">
        <v>600000</v>
      </c>
      <c r="C166" s="20">
        <v>600000</v>
      </c>
      <c r="D166" s="27"/>
      <c r="E166" s="20">
        <v>789760</v>
      </c>
      <c r="F166" s="20">
        <v>789760</v>
      </c>
      <c r="G166" s="27"/>
      <c r="H166" s="20">
        <v>789760</v>
      </c>
      <c r="I166" s="20">
        <v>786476.8</v>
      </c>
      <c r="J166" s="27"/>
      <c r="K166" s="27"/>
      <c r="L166" s="20">
        <f>411423.91</f>
        <v>411423.91</v>
      </c>
      <c r="M166" s="20"/>
      <c r="N166" s="20">
        <f t="shared" si="6"/>
        <v>378336.09</v>
      </c>
      <c r="O166" s="21">
        <f t="shared" si="5"/>
        <v>0.5209480221839546</v>
      </c>
      <c r="P166" s="22" t="s">
        <v>177</v>
      </c>
    </row>
    <row r="167" spans="1:16" s="23" customFormat="1" ht="33" customHeight="1" outlineLevel="3">
      <c r="A167" s="28" t="s">
        <v>92</v>
      </c>
      <c r="B167" s="20">
        <v>500000</v>
      </c>
      <c r="C167" s="20">
        <v>500000</v>
      </c>
      <c r="D167" s="27"/>
      <c r="E167" s="27"/>
      <c r="F167" s="27"/>
      <c r="G167" s="27"/>
      <c r="H167" s="27"/>
      <c r="I167" s="27"/>
      <c r="J167" s="27"/>
      <c r="K167" s="27"/>
      <c r="L167" s="20">
        <v>0</v>
      </c>
      <c r="M167" s="20"/>
      <c r="N167" s="20">
        <f t="shared" si="6"/>
        <v>0</v>
      </c>
      <c r="O167" s="21">
        <v>0</v>
      </c>
      <c r="P167" s="22"/>
    </row>
    <row r="168" spans="1:16" s="23" customFormat="1" ht="21.75" customHeight="1" outlineLevel="3">
      <c r="A168" s="28" t="s">
        <v>93</v>
      </c>
      <c r="B168" s="20">
        <v>1800000</v>
      </c>
      <c r="C168" s="20">
        <v>1800000</v>
      </c>
      <c r="D168" s="27"/>
      <c r="E168" s="20">
        <v>1800000</v>
      </c>
      <c r="F168" s="20">
        <v>1800000</v>
      </c>
      <c r="G168" s="27"/>
      <c r="H168" s="20">
        <v>1795610.98</v>
      </c>
      <c r="I168" s="20">
        <v>178698.01</v>
      </c>
      <c r="J168" s="20">
        <v>4389.02</v>
      </c>
      <c r="K168" s="20">
        <v>4389.02</v>
      </c>
      <c r="L168" s="20">
        <f>1616912.97+178698.01-10230.04</f>
        <v>1785380.94</v>
      </c>
      <c r="M168" s="20"/>
      <c r="N168" s="20">
        <f t="shared" si="6"/>
        <v>14619.060000000056</v>
      </c>
      <c r="O168" s="21">
        <f t="shared" si="5"/>
        <v>0.9918783</v>
      </c>
      <c r="P168" s="22" t="s">
        <v>187</v>
      </c>
    </row>
    <row r="169" spans="1:16" s="23" customFormat="1" ht="47.25" customHeight="1" outlineLevel="3">
      <c r="A169" s="28" t="s">
        <v>94</v>
      </c>
      <c r="B169" s="20">
        <v>600000</v>
      </c>
      <c r="C169" s="20">
        <v>600000</v>
      </c>
      <c r="D169" s="27"/>
      <c r="E169" s="20">
        <v>3284</v>
      </c>
      <c r="F169" s="20">
        <v>3284</v>
      </c>
      <c r="G169" s="27"/>
      <c r="H169" s="20">
        <v>3283.2</v>
      </c>
      <c r="I169" s="27"/>
      <c r="J169" s="25">
        <v>0.8</v>
      </c>
      <c r="K169" s="25">
        <v>0.8</v>
      </c>
      <c r="L169" s="20">
        <v>3283.2</v>
      </c>
      <c r="M169" s="20"/>
      <c r="N169" s="20">
        <f t="shared" si="6"/>
        <v>0.8000000000001819</v>
      </c>
      <c r="O169" s="21">
        <f t="shared" si="5"/>
        <v>0.999756394640682</v>
      </c>
      <c r="P169" s="22" t="s">
        <v>192</v>
      </c>
    </row>
    <row r="170" spans="1:16" s="23" customFormat="1" ht="57" customHeight="1" outlineLevel="3">
      <c r="A170" s="28" t="s">
        <v>95</v>
      </c>
      <c r="B170" s="20">
        <v>600000</v>
      </c>
      <c r="C170" s="20">
        <v>600000</v>
      </c>
      <c r="D170" s="27"/>
      <c r="E170" s="20">
        <v>3284</v>
      </c>
      <c r="F170" s="20">
        <v>3284</v>
      </c>
      <c r="G170" s="27"/>
      <c r="H170" s="20">
        <v>3283.2</v>
      </c>
      <c r="I170" s="27"/>
      <c r="J170" s="25">
        <v>0.8</v>
      </c>
      <c r="K170" s="25">
        <v>0.8</v>
      </c>
      <c r="L170" s="20">
        <v>3283.2</v>
      </c>
      <c r="M170" s="20"/>
      <c r="N170" s="20">
        <f t="shared" si="6"/>
        <v>0.8000000000001819</v>
      </c>
      <c r="O170" s="21">
        <f t="shared" si="5"/>
        <v>0.999756394640682</v>
      </c>
      <c r="P170" s="22" t="s">
        <v>192</v>
      </c>
    </row>
    <row r="171" spans="1:16" s="23" customFormat="1" ht="32.25" customHeight="1" outlineLevel="3">
      <c r="A171" s="28" t="s">
        <v>96</v>
      </c>
      <c r="B171" s="20">
        <v>2440000</v>
      </c>
      <c r="C171" s="20">
        <v>2440000</v>
      </c>
      <c r="D171" s="27"/>
      <c r="E171" s="20">
        <v>986000</v>
      </c>
      <c r="F171" s="20">
        <v>986000</v>
      </c>
      <c r="G171" s="27"/>
      <c r="H171" s="20">
        <v>295529.1</v>
      </c>
      <c r="I171" s="27"/>
      <c r="J171" s="20">
        <v>690470.9</v>
      </c>
      <c r="K171" s="20">
        <v>690470.9</v>
      </c>
      <c r="L171" s="20">
        <v>295529.1</v>
      </c>
      <c r="M171" s="20"/>
      <c r="N171" s="20">
        <f t="shared" si="6"/>
        <v>690470.9</v>
      </c>
      <c r="O171" s="21">
        <f t="shared" si="5"/>
        <v>0.2997252535496957</v>
      </c>
      <c r="P171" s="22" t="s">
        <v>190</v>
      </c>
    </row>
    <row r="172" spans="1:16" s="23" customFormat="1" ht="46.5" customHeight="1" outlineLevel="3">
      <c r="A172" s="28" t="s">
        <v>97</v>
      </c>
      <c r="B172" s="27"/>
      <c r="C172" s="27"/>
      <c r="D172" s="27"/>
      <c r="E172" s="20">
        <v>80000</v>
      </c>
      <c r="F172" s="20">
        <v>80000</v>
      </c>
      <c r="G172" s="20">
        <v>32000</v>
      </c>
      <c r="H172" s="27"/>
      <c r="I172" s="27"/>
      <c r="J172" s="20">
        <v>80000</v>
      </c>
      <c r="K172" s="20">
        <v>80000</v>
      </c>
      <c r="L172" s="20">
        <v>0</v>
      </c>
      <c r="M172" s="20"/>
      <c r="N172" s="20">
        <f t="shared" si="6"/>
        <v>80000</v>
      </c>
      <c r="O172" s="21">
        <f t="shared" si="5"/>
        <v>0</v>
      </c>
      <c r="P172" s="22" t="s">
        <v>178</v>
      </c>
    </row>
    <row r="173" spans="1:16" s="23" customFormat="1" ht="11.25" customHeight="1" outlineLevel="2">
      <c r="A173" s="26" t="s">
        <v>98</v>
      </c>
      <c r="B173" s="20">
        <v>9240711</v>
      </c>
      <c r="C173" s="20">
        <v>9240711</v>
      </c>
      <c r="D173" s="27"/>
      <c r="E173" s="20">
        <v>5640793.01</v>
      </c>
      <c r="F173" s="20">
        <v>5640793.01</v>
      </c>
      <c r="G173" s="27"/>
      <c r="H173" s="20">
        <v>3550509.28</v>
      </c>
      <c r="I173" s="20">
        <v>1341223.94</v>
      </c>
      <c r="J173" s="20">
        <v>2090283.73</v>
      </c>
      <c r="K173" s="20">
        <v>2090283.73</v>
      </c>
      <c r="L173" s="20">
        <f>SUM(L174:L177)</f>
        <v>3549730.37</v>
      </c>
      <c r="M173" s="20"/>
      <c r="N173" s="20">
        <f t="shared" si="6"/>
        <v>2091062.6399999997</v>
      </c>
      <c r="O173" s="21">
        <f t="shared" si="5"/>
        <v>0.6292963354101164</v>
      </c>
      <c r="P173" s="22"/>
    </row>
    <row r="174" spans="1:16" s="23" customFormat="1" ht="33.75" customHeight="1" outlineLevel="3">
      <c r="A174" s="28" t="s">
        <v>99</v>
      </c>
      <c r="B174" s="20">
        <v>3310711</v>
      </c>
      <c r="C174" s="20">
        <v>3310711</v>
      </c>
      <c r="D174" s="27"/>
      <c r="E174" s="20">
        <v>5400711</v>
      </c>
      <c r="F174" s="20">
        <v>5400711</v>
      </c>
      <c r="G174" s="27"/>
      <c r="H174" s="20">
        <v>3310427.27</v>
      </c>
      <c r="I174" s="20">
        <v>1173166.53</v>
      </c>
      <c r="J174" s="20">
        <v>2090283.73</v>
      </c>
      <c r="K174" s="20">
        <v>2090283.73</v>
      </c>
      <c r="L174" s="20">
        <f>966988.48+781541.34+383545.44+8079.75+283017.93+887254.33-778.91</f>
        <v>3309648.36</v>
      </c>
      <c r="M174" s="20"/>
      <c r="N174" s="20">
        <f t="shared" si="6"/>
        <v>2091062.6400000001</v>
      </c>
      <c r="O174" s="21">
        <f t="shared" si="5"/>
        <v>0.6128171568521256</v>
      </c>
      <c r="P174" s="22" t="s">
        <v>244</v>
      </c>
    </row>
    <row r="175" spans="1:16" s="23" customFormat="1" ht="32.25" customHeight="1" outlineLevel="3">
      <c r="A175" s="28" t="s">
        <v>100</v>
      </c>
      <c r="B175" s="20">
        <v>1480000</v>
      </c>
      <c r="C175" s="20">
        <v>1480000</v>
      </c>
      <c r="D175" s="27"/>
      <c r="E175" s="20">
        <v>117998.04</v>
      </c>
      <c r="F175" s="20">
        <v>117998.04</v>
      </c>
      <c r="G175" s="27"/>
      <c r="H175" s="20">
        <v>117998.04</v>
      </c>
      <c r="I175" s="20">
        <v>82598.63</v>
      </c>
      <c r="J175" s="27"/>
      <c r="K175" s="27"/>
      <c r="L175" s="20">
        <v>117998.04</v>
      </c>
      <c r="M175" s="20"/>
      <c r="N175" s="20">
        <f t="shared" si="6"/>
        <v>0</v>
      </c>
      <c r="O175" s="21">
        <f t="shared" si="5"/>
        <v>1</v>
      </c>
      <c r="P175" s="22"/>
    </row>
    <row r="176" spans="1:16" s="23" customFormat="1" ht="21.75" customHeight="1" outlineLevel="3">
      <c r="A176" s="28" t="s">
        <v>101</v>
      </c>
      <c r="B176" s="20">
        <v>3000000</v>
      </c>
      <c r="C176" s="20">
        <v>3000000</v>
      </c>
      <c r="D176" s="27"/>
      <c r="E176" s="27"/>
      <c r="F176" s="27"/>
      <c r="G176" s="27"/>
      <c r="H176" s="27"/>
      <c r="I176" s="27"/>
      <c r="J176" s="27"/>
      <c r="K176" s="27"/>
      <c r="L176" s="20"/>
      <c r="M176" s="20"/>
      <c r="N176" s="20">
        <f t="shared" si="6"/>
        <v>0</v>
      </c>
      <c r="O176" s="21">
        <v>0</v>
      </c>
      <c r="P176" s="22"/>
    </row>
    <row r="177" spans="1:16" s="23" customFormat="1" ht="32.25" customHeight="1" outlineLevel="3">
      <c r="A177" s="28" t="s">
        <v>102</v>
      </c>
      <c r="B177" s="20">
        <v>1450000</v>
      </c>
      <c r="C177" s="20">
        <v>1450000</v>
      </c>
      <c r="D177" s="27"/>
      <c r="E177" s="20">
        <v>122083.97</v>
      </c>
      <c r="F177" s="20">
        <v>122083.97</v>
      </c>
      <c r="G177" s="27"/>
      <c r="H177" s="20">
        <v>122083.97</v>
      </c>
      <c r="I177" s="20">
        <v>85458.78</v>
      </c>
      <c r="J177" s="27"/>
      <c r="K177" s="27"/>
      <c r="L177" s="20">
        <v>122083.97</v>
      </c>
      <c r="M177" s="20"/>
      <c r="N177" s="20">
        <f t="shared" si="6"/>
        <v>0</v>
      </c>
      <c r="O177" s="21">
        <f t="shared" si="5"/>
        <v>1</v>
      </c>
      <c r="P177" s="22"/>
    </row>
    <row r="178" spans="1:16" s="23" customFormat="1" ht="11.25" customHeight="1" outlineLevel="2">
      <c r="A178" s="26" t="s">
        <v>103</v>
      </c>
      <c r="B178" s="20">
        <v>2990000</v>
      </c>
      <c r="C178" s="20">
        <v>2990000</v>
      </c>
      <c r="D178" s="27"/>
      <c r="E178" s="20">
        <v>1405643.71</v>
      </c>
      <c r="F178" s="20">
        <v>1405643.71</v>
      </c>
      <c r="G178" s="27"/>
      <c r="H178" s="20">
        <v>939228.88</v>
      </c>
      <c r="I178" s="20">
        <v>429237.04</v>
      </c>
      <c r="J178" s="20">
        <v>466414.83</v>
      </c>
      <c r="K178" s="20">
        <v>466414.83</v>
      </c>
      <c r="L178" s="20">
        <f>SUM(L179:L188)</f>
        <v>694232.8</v>
      </c>
      <c r="M178" s="20"/>
      <c r="N178" s="20">
        <f t="shared" si="6"/>
        <v>711410.9099999999</v>
      </c>
      <c r="O178" s="21">
        <f t="shared" si="5"/>
        <v>0.493889593117448</v>
      </c>
      <c r="P178" s="22"/>
    </row>
    <row r="179" spans="1:16" s="23" customFormat="1" ht="32.25" customHeight="1" outlineLevel="3">
      <c r="A179" s="28" t="s">
        <v>104</v>
      </c>
      <c r="B179" s="27"/>
      <c r="C179" s="27"/>
      <c r="D179" s="27"/>
      <c r="E179" s="20">
        <v>500000</v>
      </c>
      <c r="F179" s="20">
        <v>500000</v>
      </c>
      <c r="G179" s="27"/>
      <c r="H179" s="20">
        <v>499992</v>
      </c>
      <c r="I179" s="20">
        <v>244996.08</v>
      </c>
      <c r="J179" s="25">
        <v>8</v>
      </c>
      <c r="K179" s="25">
        <v>8</v>
      </c>
      <c r="L179" s="20">
        <v>254995.92</v>
      </c>
      <c r="M179" s="20"/>
      <c r="N179" s="20">
        <f t="shared" si="6"/>
        <v>245004.08</v>
      </c>
      <c r="O179" s="21">
        <f t="shared" si="5"/>
        <v>0.50999184</v>
      </c>
      <c r="P179" s="22" t="s">
        <v>186</v>
      </c>
    </row>
    <row r="180" spans="1:16" s="23" customFormat="1" ht="21.75" customHeight="1" outlineLevel="3">
      <c r="A180" s="28" t="s">
        <v>105</v>
      </c>
      <c r="B180" s="20">
        <v>500000</v>
      </c>
      <c r="C180" s="20">
        <v>500000</v>
      </c>
      <c r="D180" s="27"/>
      <c r="E180" s="20">
        <v>500000</v>
      </c>
      <c r="F180" s="20">
        <v>500000</v>
      </c>
      <c r="G180" s="27"/>
      <c r="H180" s="20">
        <v>254995.92</v>
      </c>
      <c r="I180" s="27"/>
      <c r="J180" s="20">
        <v>245004.08</v>
      </c>
      <c r="K180" s="20">
        <v>245004.08</v>
      </c>
      <c r="L180" s="20">
        <f>149997.6+104998.32</f>
        <v>254995.92</v>
      </c>
      <c r="M180" s="20"/>
      <c r="N180" s="20">
        <f t="shared" si="6"/>
        <v>245004.08</v>
      </c>
      <c r="O180" s="21">
        <f t="shared" si="5"/>
        <v>0.50999184</v>
      </c>
      <c r="P180" s="22" t="s">
        <v>186</v>
      </c>
    </row>
    <row r="181" spans="1:16" s="23" customFormat="1" ht="38.25" customHeight="1" outlineLevel="3">
      <c r="A181" s="28" t="s">
        <v>106</v>
      </c>
      <c r="B181" s="27"/>
      <c r="C181" s="27"/>
      <c r="D181" s="27"/>
      <c r="E181" s="20">
        <v>80000</v>
      </c>
      <c r="F181" s="20">
        <v>80000</v>
      </c>
      <c r="G181" s="27"/>
      <c r="H181" s="27"/>
      <c r="I181" s="27"/>
      <c r="J181" s="20">
        <v>80000</v>
      </c>
      <c r="K181" s="20">
        <v>80000</v>
      </c>
      <c r="L181" s="20">
        <v>0</v>
      </c>
      <c r="M181" s="20"/>
      <c r="N181" s="20">
        <f t="shared" si="6"/>
        <v>80000</v>
      </c>
      <c r="O181" s="21">
        <f t="shared" si="5"/>
        <v>0</v>
      </c>
      <c r="P181" s="22" t="s">
        <v>195</v>
      </c>
    </row>
    <row r="182" spans="1:18" s="23" customFormat="1" ht="32.25" customHeight="1" outlineLevel="3">
      <c r="A182" s="28" t="s">
        <v>107</v>
      </c>
      <c r="B182" s="20">
        <v>120000</v>
      </c>
      <c r="C182" s="20">
        <v>120000</v>
      </c>
      <c r="D182" s="27"/>
      <c r="E182" s="27"/>
      <c r="F182" s="27"/>
      <c r="G182" s="27"/>
      <c r="H182" s="27"/>
      <c r="I182" s="27"/>
      <c r="J182" s="27"/>
      <c r="K182" s="27"/>
      <c r="L182" s="20">
        <v>0</v>
      </c>
      <c r="M182" s="20"/>
      <c r="N182" s="20">
        <f t="shared" si="6"/>
        <v>0</v>
      </c>
      <c r="O182" s="21">
        <v>0</v>
      </c>
      <c r="P182" s="22"/>
      <c r="R182" s="51"/>
    </row>
    <row r="183" spans="1:16" s="23" customFormat="1" ht="42.75" customHeight="1" outlineLevel="3">
      <c r="A183" s="28" t="s">
        <v>108</v>
      </c>
      <c r="B183" s="20">
        <v>120000</v>
      </c>
      <c r="C183" s="20">
        <v>120000</v>
      </c>
      <c r="D183" s="27"/>
      <c r="E183" s="27"/>
      <c r="F183" s="27"/>
      <c r="G183" s="27"/>
      <c r="H183" s="27"/>
      <c r="I183" s="27"/>
      <c r="J183" s="27"/>
      <c r="K183" s="27"/>
      <c r="L183" s="20">
        <v>0</v>
      </c>
      <c r="M183" s="20"/>
      <c r="N183" s="20">
        <f t="shared" si="6"/>
        <v>0</v>
      </c>
      <c r="O183" s="21">
        <v>0</v>
      </c>
      <c r="P183" s="22"/>
    </row>
    <row r="184" spans="1:16" s="23" customFormat="1" ht="21.75" customHeight="1" outlineLevel="3">
      <c r="A184" s="28" t="s">
        <v>109</v>
      </c>
      <c r="B184" s="20">
        <v>400000</v>
      </c>
      <c r="C184" s="20">
        <v>400000</v>
      </c>
      <c r="D184" s="27"/>
      <c r="E184" s="27"/>
      <c r="F184" s="27"/>
      <c r="G184" s="27"/>
      <c r="H184" s="27"/>
      <c r="I184" s="27"/>
      <c r="J184" s="27"/>
      <c r="K184" s="27"/>
      <c r="L184" s="20">
        <v>0</v>
      </c>
      <c r="M184" s="20"/>
      <c r="N184" s="20">
        <f t="shared" si="6"/>
        <v>0</v>
      </c>
      <c r="O184" s="21">
        <v>0</v>
      </c>
      <c r="P184" s="22"/>
    </row>
    <row r="185" spans="1:16" s="23" customFormat="1" ht="42.75" customHeight="1" outlineLevel="3">
      <c r="A185" s="28" t="s">
        <v>110</v>
      </c>
      <c r="B185" s="20">
        <v>200000</v>
      </c>
      <c r="C185" s="20">
        <v>200000</v>
      </c>
      <c r="D185" s="27"/>
      <c r="E185" s="20">
        <v>199618.22</v>
      </c>
      <c r="F185" s="20">
        <v>199618.22</v>
      </c>
      <c r="G185" s="27"/>
      <c r="H185" s="20">
        <v>184240.96</v>
      </c>
      <c r="I185" s="20">
        <v>184240.96</v>
      </c>
      <c r="J185" s="20">
        <v>15377.26</v>
      </c>
      <c r="K185" s="20">
        <v>15377.26</v>
      </c>
      <c r="L185" s="20">
        <v>184240.96</v>
      </c>
      <c r="M185" s="20"/>
      <c r="N185" s="20">
        <f t="shared" si="6"/>
        <v>15377.26000000001</v>
      </c>
      <c r="O185" s="21">
        <f t="shared" si="5"/>
        <v>0.9229666510401705</v>
      </c>
      <c r="P185" s="22" t="s">
        <v>194</v>
      </c>
    </row>
    <row r="186" spans="1:16" s="23" customFormat="1" ht="21.75" customHeight="1" outlineLevel="3">
      <c r="A186" s="28" t="s">
        <v>111</v>
      </c>
      <c r="B186" s="20">
        <v>500000</v>
      </c>
      <c r="C186" s="20">
        <v>500000</v>
      </c>
      <c r="D186" s="27"/>
      <c r="E186" s="27"/>
      <c r="F186" s="27"/>
      <c r="G186" s="27"/>
      <c r="H186" s="27"/>
      <c r="I186" s="27"/>
      <c r="J186" s="27"/>
      <c r="K186" s="27"/>
      <c r="L186" s="20">
        <v>0</v>
      </c>
      <c r="M186" s="20"/>
      <c r="N186" s="20">
        <f t="shared" si="6"/>
        <v>0</v>
      </c>
      <c r="O186" s="21">
        <v>0</v>
      </c>
      <c r="P186" s="22"/>
    </row>
    <row r="187" spans="1:16" s="23" customFormat="1" ht="57" customHeight="1" outlineLevel="3">
      <c r="A187" s="28" t="s">
        <v>112</v>
      </c>
      <c r="B187" s="20">
        <v>150000</v>
      </c>
      <c r="C187" s="20">
        <v>150000</v>
      </c>
      <c r="D187" s="27"/>
      <c r="E187" s="20">
        <v>126025.49</v>
      </c>
      <c r="F187" s="20">
        <v>126025.49</v>
      </c>
      <c r="G187" s="27"/>
      <c r="H187" s="27"/>
      <c r="I187" s="27"/>
      <c r="J187" s="20">
        <v>126025.49</v>
      </c>
      <c r="K187" s="20">
        <v>126025.49</v>
      </c>
      <c r="L187" s="20">
        <v>0</v>
      </c>
      <c r="M187" s="20"/>
      <c r="N187" s="20">
        <f t="shared" si="6"/>
        <v>126025.49</v>
      </c>
      <c r="O187" s="21">
        <f t="shared" si="5"/>
        <v>0</v>
      </c>
      <c r="P187" s="22" t="s">
        <v>193</v>
      </c>
    </row>
    <row r="188" spans="1:16" s="23" customFormat="1" ht="21.75" customHeight="1" outlineLevel="3">
      <c r="A188" s="28" t="s">
        <v>113</v>
      </c>
      <c r="B188" s="20">
        <v>1000000</v>
      </c>
      <c r="C188" s="20">
        <v>1000000</v>
      </c>
      <c r="D188" s="27"/>
      <c r="E188" s="27"/>
      <c r="F188" s="27"/>
      <c r="G188" s="27"/>
      <c r="H188" s="27"/>
      <c r="I188" s="27"/>
      <c r="J188" s="27"/>
      <c r="K188" s="27"/>
      <c r="L188" s="20">
        <v>0</v>
      </c>
      <c r="M188" s="20"/>
      <c r="N188" s="20">
        <f t="shared" si="6"/>
        <v>0</v>
      </c>
      <c r="O188" s="21">
        <v>0</v>
      </c>
      <c r="P188" s="22"/>
    </row>
    <row r="189" spans="1:16" s="23" customFormat="1" ht="21.75" customHeight="1" outlineLevel="1">
      <c r="A189" s="24" t="s">
        <v>157</v>
      </c>
      <c r="B189" s="20">
        <v>63722224</v>
      </c>
      <c r="C189" s="20">
        <v>63722224</v>
      </c>
      <c r="D189" s="27"/>
      <c r="E189" s="20">
        <v>92943280</v>
      </c>
      <c r="F189" s="20">
        <v>92943280</v>
      </c>
      <c r="G189" s="27"/>
      <c r="H189" s="20">
        <v>92943280</v>
      </c>
      <c r="I189" s="20">
        <v>35998469.3</v>
      </c>
      <c r="J189" s="27"/>
      <c r="K189" s="27"/>
      <c r="L189" s="20">
        <f>L190+L192</f>
        <v>74687354.12</v>
      </c>
      <c r="M189" s="20"/>
      <c r="N189" s="20">
        <f t="shared" si="6"/>
        <v>18255925.879999995</v>
      </c>
      <c r="O189" s="21">
        <f t="shared" si="5"/>
        <v>0.8035799265960918</v>
      </c>
      <c r="P189" s="22"/>
    </row>
    <row r="190" spans="1:16" s="23" customFormat="1" ht="11.25" customHeight="1" outlineLevel="2">
      <c r="A190" s="26" t="s">
        <v>17</v>
      </c>
      <c r="B190" s="20">
        <v>31957315</v>
      </c>
      <c r="C190" s="20">
        <v>31957315</v>
      </c>
      <c r="D190" s="27"/>
      <c r="E190" s="20">
        <v>64803033</v>
      </c>
      <c r="F190" s="20">
        <v>64803033</v>
      </c>
      <c r="G190" s="27"/>
      <c r="H190" s="20">
        <v>64803033</v>
      </c>
      <c r="I190" s="20">
        <v>24312895.77</v>
      </c>
      <c r="J190" s="27"/>
      <c r="K190" s="27"/>
      <c r="L190" s="20">
        <f>L191</f>
        <v>51387825.53</v>
      </c>
      <c r="M190" s="20"/>
      <c r="N190" s="20">
        <f t="shared" si="6"/>
        <v>13415207.469999999</v>
      </c>
      <c r="O190" s="21">
        <f t="shared" si="5"/>
        <v>0.7929848828217655</v>
      </c>
      <c r="P190" s="22"/>
    </row>
    <row r="191" spans="1:16" s="23" customFormat="1" ht="29.25" customHeight="1" outlineLevel="3">
      <c r="A191" s="28" t="s">
        <v>114</v>
      </c>
      <c r="B191" s="20">
        <v>31957315</v>
      </c>
      <c r="C191" s="20">
        <v>31957315</v>
      </c>
      <c r="D191" s="27"/>
      <c r="E191" s="20">
        <v>64803033</v>
      </c>
      <c r="F191" s="20">
        <v>64803033</v>
      </c>
      <c r="G191" s="27"/>
      <c r="H191" s="20">
        <v>64803033</v>
      </c>
      <c r="I191" s="20">
        <v>24312895.77</v>
      </c>
      <c r="J191" s="27"/>
      <c r="K191" s="27"/>
      <c r="L191" s="20">
        <v>51387825.53</v>
      </c>
      <c r="M191" s="20"/>
      <c r="N191" s="20">
        <f t="shared" si="6"/>
        <v>13415207.469999999</v>
      </c>
      <c r="O191" s="21">
        <f t="shared" si="5"/>
        <v>0.7929848828217655</v>
      </c>
      <c r="P191" s="22" t="s">
        <v>237</v>
      </c>
    </row>
    <row r="192" spans="1:16" s="23" customFormat="1" ht="11.25" customHeight="1" outlineLevel="2">
      <c r="A192" s="26" t="s">
        <v>24</v>
      </c>
      <c r="B192" s="20">
        <v>31764909</v>
      </c>
      <c r="C192" s="20">
        <v>31764909</v>
      </c>
      <c r="D192" s="27"/>
      <c r="E192" s="20">
        <v>28140247</v>
      </c>
      <c r="F192" s="20">
        <v>28140247</v>
      </c>
      <c r="G192" s="27"/>
      <c r="H192" s="20">
        <v>28140247</v>
      </c>
      <c r="I192" s="20">
        <v>11685573.53</v>
      </c>
      <c r="J192" s="27"/>
      <c r="K192" s="27"/>
      <c r="L192" s="20">
        <f>L193</f>
        <v>23299528.59</v>
      </c>
      <c r="M192" s="20"/>
      <c r="N192" s="20">
        <f t="shared" si="6"/>
        <v>4840718.41</v>
      </c>
      <c r="O192" s="21">
        <f t="shared" si="5"/>
        <v>0.827978823000381</v>
      </c>
      <c r="P192" s="22"/>
    </row>
    <row r="193" spans="1:16" s="23" customFormat="1" ht="21.75" customHeight="1" outlineLevel="3">
      <c r="A193" s="28" t="s">
        <v>114</v>
      </c>
      <c r="B193" s="20">
        <v>31764909</v>
      </c>
      <c r="C193" s="20">
        <v>31764909</v>
      </c>
      <c r="D193" s="27"/>
      <c r="E193" s="20">
        <v>28140247</v>
      </c>
      <c r="F193" s="20">
        <v>28140247</v>
      </c>
      <c r="G193" s="27"/>
      <c r="H193" s="20">
        <v>28140247</v>
      </c>
      <c r="I193" s="20">
        <v>11685573.53</v>
      </c>
      <c r="J193" s="27"/>
      <c r="K193" s="27"/>
      <c r="L193" s="20">
        <v>23299528.59</v>
      </c>
      <c r="M193" s="20"/>
      <c r="N193" s="20">
        <f t="shared" si="6"/>
        <v>4840718.41</v>
      </c>
      <c r="O193" s="21">
        <f t="shared" si="5"/>
        <v>0.827978823000381</v>
      </c>
      <c r="P193" s="22" t="s">
        <v>238</v>
      </c>
    </row>
    <row r="194" spans="1:16" s="23" customFormat="1" ht="11.25" customHeight="1" outlineLevel="1">
      <c r="A194" s="24" t="s">
        <v>158</v>
      </c>
      <c r="B194" s="20">
        <v>540000</v>
      </c>
      <c r="C194" s="20">
        <v>540000</v>
      </c>
      <c r="D194" s="27"/>
      <c r="E194" s="20">
        <v>11682340</v>
      </c>
      <c r="F194" s="20">
        <v>11682340</v>
      </c>
      <c r="G194" s="20">
        <v>137000</v>
      </c>
      <c r="H194" s="20">
        <v>1345111.2</v>
      </c>
      <c r="I194" s="20">
        <v>368977.06</v>
      </c>
      <c r="J194" s="20">
        <v>10337228.8</v>
      </c>
      <c r="K194" s="20">
        <v>10337228.8</v>
      </c>
      <c r="L194" s="20">
        <f>L195</f>
        <v>1345111.2</v>
      </c>
      <c r="M194" s="20">
        <v>269.33</v>
      </c>
      <c r="N194" s="20">
        <f t="shared" si="6"/>
        <v>10337228.8</v>
      </c>
      <c r="O194" s="21">
        <f t="shared" si="5"/>
        <v>0.11514056259276823</v>
      </c>
      <c r="P194" s="22"/>
    </row>
    <row r="195" spans="1:16" s="23" customFormat="1" ht="11.25" customHeight="1" outlineLevel="2">
      <c r="A195" s="26" t="s">
        <v>35</v>
      </c>
      <c r="B195" s="27"/>
      <c r="C195" s="27"/>
      <c r="D195" s="27"/>
      <c r="E195" s="20">
        <v>11682340</v>
      </c>
      <c r="F195" s="20">
        <v>11682340</v>
      </c>
      <c r="G195" s="20">
        <v>137000</v>
      </c>
      <c r="H195" s="20">
        <v>1345111.2</v>
      </c>
      <c r="I195" s="20">
        <v>368977.06</v>
      </c>
      <c r="J195" s="20">
        <v>10337228.8</v>
      </c>
      <c r="K195" s="20">
        <v>10337228.8</v>
      </c>
      <c r="L195" s="20">
        <f>SUM(L196:L197)</f>
        <v>1345111.2</v>
      </c>
      <c r="M195" s="20">
        <v>269.33</v>
      </c>
      <c r="N195" s="20">
        <f t="shared" si="6"/>
        <v>10337228.8</v>
      </c>
      <c r="O195" s="21">
        <f t="shared" si="5"/>
        <v>0.11514056259276823</v>
      </c>
      <c r="P195" s="22"/>
    </row>
    <row r="196" spans="1:16" s="23" customFormat="1" ht="60" customHeight="1" outlineLevel="3">
      <c r="A196" s="28" t="s">
        <v>115</v>
      </c>
      <c r="B196" s="27"/>
      <c r="C196" s="27"/>
      <c r="D196" s="27"/>
      <c r="E196" s="20">
        <v>342340</v>
      </c>
      <c r="F196" s="20">
        <v>342340</v>
      </c>
      <c r="G196" s="20">
        <v>137000</v>
      </c>
      <c r="H196" s="27"/>
      <c r="I196" s="27"/>
      <c r="J196" s="20">
        <v>342340</v>
      </c>
      <c r="K196" s="20">
        <v>342340</v>
      </c>
      <c r="L196" s="20">
        <v>0</v>
      </c>
      <c r="M196" s="20"/>
      <c r="N196" s="20">
        <f t="shared" si="6"/>
        <v>342340</v>
      </c>
      <c r="O196" s="21">
        <f t="shared" si="5"/>
        <v>0</v>
      </c>
      <c r="P196" s="22" t="s">
        <v>240</v>
      </c>
    </row>
    <row r="197" spans="1:16" s="23" customFormat="1" ht="106.5" customHeight="1" outlineLevel="3">
      <c r="A197" s="28" t="s">
        <v>116</v>
      </c>
      <c r="B197" s="27"/>
      <c r="C197" s="27"/>
      <c r="D197" s="27"/>
      <c r="E197" s="20">
        <v>11340000</v>
      </c>
      <c r="F197" s="20">
        <v>11340000</v>
      </c>
      <c r="G197" s="27"/>
      <c r="H197" s="20">
        <v>1345111.2</v>
      </c>
      <c r="I197" s="20">
        <v>368977.06</v>
      </c>
      <c r="J197" s="20">
        <v>9994888.8</v>
      </c>
      <c r="K197" s="20">
        <v>9994888.8</v>
      </c>
      <c r="L197" s="20">
        <v>1345111.2</v>
      </c>
      <c r="M197" s="20"/>
      <c r="N197" s="20">
        <f t="shared" si="6"/>
        <v>9994888.8</v>
      </c>
      <c r="O197" s="21">
        <f t="shared" si="5"/>
        <v>0.11861650793650794</v>
      </c>
      <c r="P197" s="22" t="s">
        <v>239</v>
      </c>
    </row>
    <row r="198" spans="1:16" s="23" customFormat="1" ht="11.25" customHeight="1" outlineLevel="1">
      <c r="A198" s="24" t="s">
        <v>159</v>
      </c>
      <c r="B198" s="20">
        <v>500000</v>
      </c>
      <c r="C198" s="20">
        <v>500000</v>
      </c>
      <c r="D198" s="27"/>
      <c r="E198" s="20">
        <v>647424</v>
      </c>
      <c r="F198" s="20">
        <v>647424</v>
      </c>
      <c r="G198" s="20">
        <v>70000</v>
      </c>
      <c r="H198" s="20">
        <v>365494.41</v>
      </c>
      <c r="I198" s="20">
        <v>217014.7</v>
      </c>
      <c r="J198" s="20">
        <v>281929.59</v>
      </c>
      <c r="K198" s="20">
        <v>281929.59</v>
      </c>
      <c r="L198" s="20">
        <f>L199+L201+L203+L205</f>
        <v>314909.19</v>
      </c>
      <c r="M198" s="20">
        <v>310.02</v>
      </c>
      <c r="N198" s="20">
        <f t="shared" si="6"/>
        <v>332514.81</v>
      </c>
      <c r="O198" s="21">
        <f t="shared" si="5"/>
        <v>0.48640333073843417</v>
      </c>
      <c r="P198" s="22"/>
    </row>
    <row r="199" spans="1:16" s="23" customFormat="1" ht="11.25" customHeight="1" outlineLevel="2">
      <c r="A199" s="26" t="s">
        <v>16</v>
      </c>
      <c r="B199" s="20">
        <v>15000</v>
      </c>
      <c r="C199" s="20">
        <v>15000</v>
      </c>
      <c r="D199" s="27"/>
      <c r="E199" s="20">
        <v>15000</v>
      </c>
      <c r="F199" s="20">
        <v>15000</v>
      </c>
      <c r="G199" s="27"/>
      <c r="H199" s="20">
        <v>14999</v>
      </c>
      <c r="I199" s="20">
        <v>14999</v>
      </c>
      <c r="J199" s="25">
        <v>1</v>
      </c>
      <c r="K199" s="25">
        <v>1</v>
      </c>
      <c r="L199" s="20">
        <f>L200</f>
        <v>14999</v>
      </c>
      <c r="M199" s="20"/>
      <c r="N199" s="20">
        <f t="shared" si="6"/>
        <v>1</v>
      </c>
      <c r="O199" s="21">
        <f aca="true" t="shared" si="7" ref="O199:O237">L199/E199</f>
        <v>0.9999333333333333</v>
      </c>
      <c r="P199" s="22"/>
    </row>
    <row r="200" spans="1:16" s="23" customFormat="1" ht="11.25" customHeight="1" outlineLevel="3">
      <c r="A200" s="28" t="s">
        <v>117</v>
      </c>
      <c r="B200" s="20">
        <v>15000</v>
      </c>
      <c r="C200" s="20">
        <v>15000</v>
      </c>
      <c r="D200" s="27"/>
      <c r="E200" s="20">
        <v>15000</v>
      </c>
      <c r="F200" s="20">
        <v>15000</v>
      </c>
      <c r="G200" s="27"/>
      <c r="H200" s="20">
        <v>14999</v>
      </c>
      <c r="I200" s="20">
        <v>14999</v>
      </c>
      <c r="J200" s="25">
        <v>1</v>
      </c>
      <c r="K200" s="25">
        <v>1</v>
      </c>
      <c r="L200" s="20">
        <v>14999</v>
      </c>
      <c r="M200" s="20"/>
      <c r="N200" s="20">
        <f t="shared" si="6"/>
        <v>1</v>
      </c>
      <c r="O200" s="21">
        <f t="shared" si="7"/>
        <v>0.9999333333333333</v>
      </c>
      <c r="P200" s="22"/>
    </row>
    <row r="201" spans="1:16" s="23" customFormat="1" ht="11.25" customHeight="1" outlineLevel="2">
      <c r="A201" s="26" t="s">
        <v>17</v>
      </c>
      <c r="B201" s="20">
        <v>285000</v>
      </c>
      <c r="C201" s="20">
        <v>285000</v>
      </c>
      <c r="D201" s="27"/>
      <c r="E201" s="20">
        <v>137560</v>
      </c>
      <c r="F201" s="20">
        <v>137560</v>
      </c>
      <c r="G201" s="27"/>
      <c r="H201" s="20">
        <v>137560</v>
      </c>
      <c r="I201" s="20">
        <v>19270</v>
      </c>
      <c r="J201" s="27"/>
      <c r="K201" s="27"/>
      <c r="L201" s="20">
        <f>L202</f>
        <v>137560</v>
      </c>
      <c r="M201" s="20"/>
      <c r="N201" s="20">
        <f t="shared" si="6"/>
        <v>0</v>
      </c>
      <c r="O201" s="21">
        <f t="shared" si="7"/>
        <v>1</v>
      </c>
      <c r="P201" s="22"/>
    </row>
    <row r="202" spans="1:16" s="23" customFormat="1" ht="11.25" customHeight="1" outlineLevel="3">
      <c r="A202" s="28" t="s">
        <v>118</v>
      </c>
      <c r="B202" s="20">
        <v>285000</v>
      </c>
      <c r="C202" s="20">
        <v>285000</v>
      </c>
      <c r="D202" s="27"/>
      <c r="E202" s="20">
        <v>137560</v>
      </c>
      <c r="F202" s="20">
        <v>137560</v>
      </c>
      <c r="G202" s="27"/>
      <c r="H202" s="20">
        <v>137560</v>
      </c>
      <c r="I202" s="20">
        <v>19270</v>
      </c>
      <c r="J202" s="27"/>
      <c r="K202" s="27"/>
      <c r="L202" s="20">
        <v>137560</v>
      </c>
      <c r="M202" s="20"/>
      <c r="N202" s="20">
        <f t="shared" si="6"/>
        <v>0</v>
      </c>
      <c r="O202" s="21">
        <f t="shared" si="7"/>
        <v>1</v>
      </c>
      <c r="P202" s="22"/>
    </row>
    <row r="203" spans="1:16" s="23" customFormat="1" ht="21.75" customHeight="1" outlineLevel="2">
      <c r="A203" s="26" t="s">
        <v>43</v>
      </c>
      <c r="B203" s="20">
        <v>200000</v>
      </c>
      <c r="C203" s="20">
        <v>200000</v>
      </c>
      <c r="D203" s="27"/>
      <c r="E203" s="20">
        <v>49000</v>
      </c>
      <c r="F203" s="20">
        <v>49000</v>
      </c>
      <c r="G203" s="27"/>
      <c r="H203" s="20">
        <v>49000</v>
      </c>
      <c r="I203" s="20">
        <v>49000</v>
      </c>
      <c r="J203" s="27"/>
      <c r="K203" s="27"/>
      <c r="L203" s="20">
        <f>L204</f>
        <v>49000</v>
      </c>
      <c r="M203" s="20"/>
      <c r="N203" s="20">
        <f t="shared" si="6"/>
        <v>0</v>
      </c>
      <c r="O203" s="21">
        <f t="shared" si="7"/>
        <v>1</v>
      </c>
      <c r="P203" s="22"/>
    </row>
    <row r="204" spans="1:16" s="23" customFormat="1" ht="11.25" customHeight="1" outlineLevel="3">
      <c r="A204" s="28" t="s">
        <v>117</v>
      </c>
      <c r="B204" s="20">
        <v>200000</v>
      </c>
      <c r="C204" s="20">
        <v>200000</v>
      </c>
      <c r="D204" s="27"/>
      <c r="E204" s="20">
        <v>49000</v>
      </c>
      <c r="F204" s="20">
        <v>49000</v>
      </c>
      <c r="G204" s="27"/>
      <c r="H204" s="20">
        <v>49000</v>
      </c>
      <c r="I204" s="20">
        <v>49000</v>
      </c>
      <c r="J204" s="27"/>
      <c r="K204" s="27"/>
      <c r="L204" s="20">
        <v>49000</v>
      </c>
      <c r="M204" s="20"/>
      <c r="N204" s="20">
        <f t="shared" si="6"/>
        <v>0</v>
      </c>
      <c r="O204" s="21">
        <f t="shared" si="7"/>
        <v>1</v>
      </c>
      <c r="P204" s="22"/>
    </row>
    <row r="205" spans="1:16" s="23" customFormat="1" ht="11.25" customHeight="1" outlineLevel="2">
      <c r="A205" s="26" t="s">
        <v>35</v>
      </c>
      <c r="B205" s="27"/>
      <c r="C205" s="27"/>
      <c r="D205" s="27"/>
      <c r="E205" s="20">
        <v>445864</v>
      </c>
      <c r="F205" s="20">
        <v>445864</v>
      </c>
      <c r="G205" s="20">
        <v>70000</v>
      </c>
      <c r="H205" s="20">
        <v>163935.41</v>
      </c>
      <c r="I205" s="20">
        <v>133745.7</v>
      </c>
      <c r="J205" s="20">
        <v>281928.59</v>
      </c>
      <c r="K205" s="20">
        <v>281928.59</v>
      </c>
      <c r="L205" s="20">
        <f>L206</f>
        <v>113350.19</v>
      </c>
      <c r="M205" s="20">
        <v>191.07</v>
      </c>
      <c r="N205" s="20">
        <f t="shared" si="6"/>
        <v>332513.81</v>
      </c>
      <c r="O205" s="21">
        <f t="shared" si="7"/>
        <v>0.2542259298799634</v>
      </c>
      <c r="P205" s="22"/>
    </row>
    <row r="206" spans="1:16" s="23" customFormat="1" ht="89.25" customHeight="1" outlineLevel="3">
      <c r="A206" s="28" t="s">
        <v>119</v>
      </c>
      <c r="B206" s="27"/>
      <c r="C206" s="27"/>
      <c r="D206" s="27"/>
      <c r="E206" s="20">
        <v>445864</v>
      </c>
      <c r="F206" s="20">
        <v>445864</v>
      </c>
      <c r="G206" s="20">
        <v>70000</v>
      </c>
      <c r="H206" s="20">
        <v>163935.41</v>
      </c>
      <c r="I206" s="20">
        <v>133745.7</v>
      </c>
      <c r="J206" s="20">
        <v>281928.59</v>
      </c>
      <c r="K206" s="20">
        <v>281928.59</v>
      </c>
      <c r="L206" s="20">
        <v>113350.19</v>
      </c>
      <c r="M206" s="20">
        <v>191.07</v>
      </c>
      <c r="N206" s="20">
        <f t="shared" si="6"/>
        <v>332513.81</v>
      </c>
      <c r="O206" s="21">
        <f t="shared" si="7"/>
        <v>0.2542259298799634</v>
      </c>
      <c r="P206" s="22" t="s">
        <v>239</v>
      </c>
    </row>
    <row r="207" spans="1:16" s="23" customFormat="1" ht="21.75" customHeight="1" outlineLevel="1">
      <c r="A207" s="24" t="s">
        <v>160</v>
      </c>
      <c r="B207" s="27"/>
      <c r="C207" s="27"/>
      <c r="D207" s="27"/>
      <c r="E207" s="20">
        <v>11323160</v>
      </c>
      <c r="F207" s="20">
        <v>11323160</v>
      </c>
      <c r="G207" s="20">
        <v>5500000</v>
      </c>
      <c r="H207" s="20">
        <v>11323160</v>
      </c>
      <c r="I207" s="20">
        <v>5500000</v>
      </c>
      <c r="J207" s="27"/>
      <c r="K207" s="27"/>
      <c r="L207" s="20">
        <f>L208</f>
        <v>11323160</v>
      </c>
      <c r="M207" s="20">
        <v>100</v>
      </c>
      <c r="N207" s="20">
        <f t="shared" si="6"/>
        <v>0</v>
      </c>
      <c r="O207" s="21">
        <f t="shared" si="7"/>
        <v>1</v>
      </c>
      <c r="P207" s="22"/>
    </row>
    <row r="208" spans="1:16" s="23" customFormat="1" ht="11.25" customHeight="1" outlineLevel="2">
      <c r="A208" s="26" t="s">
        <v>120</v>
      </c>
      <c r="B208" s="27"/>
      <c r="C208" s="27"/>
      <c r="D208" s="27"/>
      <c r="E208" s="20">
        <v>11323160</v>
      </c>
      <c r="F208" s="20">
        <v>11323160</v>
      </c>
      <c r="G208" s="20">
        <v>5500000</v>
      </c>
      <c r="H208" s="20">
        <v>11323160</v>
      </c>
      <c r="I208" s="20">
        <v>5500000</v>
      </c>
      <c r="J208" s="27"/>
      <c r="K208" s="27"/>
      <c r="L208" s="20">
        <f>SUM(L209:L211)</f>
        <v>11323160</v>
      </c>
      <c r="M208" s="20">
        <f>SUM(M209:M211)</f>
        <v>200</v>
      </c>
      <c r="N208" s="20">
        <f t="shared" si="6"/>
        <v>0</v>
      </c>
      <c r="O208" s="21">
        <f t="shared" si="7"/>
        <v>1</v>
      </c>
      <c r="P208" s="22"/>
    </row>
    <row r="209" spans="1:16" s="23" customFormat="1" ht="21.75" customHeight="1" outlineLevel="3">
      <c r="A209" s="28" t="s">
        <v>121</v>
      </c>
      <c r="B209" s="27"/>
      <c r="C209" s="27"/>
      <c r="D209" s="27"/>
      <c r="E209" s="20">
        <v>5823160</v>
      </c>
      <c r="F209" s="20">
        <v>5823160</v>
      </c>
      <c r="G209" s="27"/>
      <c r="H209" s="20">
        <v>5823160</v>
      </c>
      <c r="I209" s="27"/>
      <c r="J209" s="27"/>
      <c r="K209" s="27"/>
      <c r="L209" s="20">
        <v>5823160</v>
      </c>
      <c r="M209" s="20"/>
      <c r="N209" s="20">
        <f t="shared" si="6"/>
        <v>0</v>
      </c>
      <c r="O209" s="21">
        <f t="shared" si="7"/>
        <v>1</v>
      </c>
      <c r="P209" s="22"/>
    </row>
    <row r="210" spans="1:16" s="23" customFormat="1" ht="11.25" customHeight="1" outlineLevel="3">
      <c r="A210" s="28" t="s">
        <v>122</v>
      </c>
      <c r="B210" s="27"/>
      <c r="C210" s="27"/>
      <c r="D210" s="27"/>
      <c r="E210" s="20">
        <v>2500000</v>
      </c>
      <c r="F210" s="20">
        <v>2500000</v>
      </c>
      <c r="G210" s="20">
        <v>2500000</v>
      </c>
      <c r="H210" s="20">
        <v>2500000</v>
      </c>
      <c r="I210" s="20">
        <v>2500000</v>
      </c>
      <c r="J210" s="27"/>
      <c r="K210" s="27"/>
      <c r="L210" s="20">
        <v>2500000</v>
      </c>
      <c r="M210" s="20">
        <v>100</v>
      </c>
      <c r="N210" s="20">
        <f t="shared" si="6"/>
        <v>0</v>
      </c>
      <c r="O210" s="21">
        <f t="shared" si="7"/>
        <v>1</v>
      </c>
      <c r="P210" s="22"/>
    </row>
    <row r="211" spans="1:16" s="23" customFormat="1" ht="11.25" customHeight="1" outlineLevel="3">
      <c r="A211" s="28" t="s">
        <v>123</v>
      </c>
      <c r="B211" s="27"/>
      <c r="C211" s="27"/>
      <c r="D211" s="27"/>
      <c r="E211" s="20">
        <v>3000000</v>
      </c>
      <c r="F211" s="20">
        <v>3000000</v>
      </c>
      <c r="G211" s="20">
        <v>3000000</v>
      </c>
      <c r="H211" s="20">
        <v>3000000</v>
      </c>
      <c r="I211" s="20">
        <v>3000000</v>
      </c>
      <c r="J211" s="27"/>
      <c r="K211" s="27"/>
      <c r="L211" s="20">
        <v>3000000</v>
      </c>
      <c r="M211" s="20">
        <v>100</v>
      </c>
      <c r="N211" s="20">
        <f t="shared" si="6"/>
        <v>0</v>
      </c>
      <c r="O211" s="21">
        <f t="shared" si="7"/>
        <v>1</v>
      </c>
      <c r="P211" s="22"/>
    </row>
    <row r="212" spans="1:16" s="23" customFormat="1" ht="11.25" customHeight="1" outlineLevel="1">
      <c r="A212" s="24" t="s">
        <v>161</v>
      </c>
      <c r="B212" s="20">
        <v>920000</v>
      </c>
      <c r="C212" s="20">
        <v>920000</v>
      </c>
      <c r="D212" s="20">
        <v>18545</v>
      </c>
      <c r="E212" s="20">
        <v>4205586</v>
      </c>
      <c r="F212" s="20">
        <v>4205586</v>
      </c>
      <c r="G212" s="20">
        <v>18545</v>
      </c>
      <c r="H212" s="20">
        <v>1517333.59</v>
      </c>
      <c r="I212" s="20">
        <v>1090880.22</v>
      </c>
      <c r="J212" s="20">
        <v>2688252.41</v>
      </c>
      <c r="K212" s="20">
        <v>2688252.41</v>
      </c>
      <c r="L212" s="20">
        <f>L213+L215+L222+L225+L227</f>
        <v>820027.4299999999</v>
      </c>
      <c r="M212" s="20">
        <f>M213+M215+M222+M225+M227</f>
        <v>964.63</v>
      </c>
      <c r="N212" s="20">
        <f t="shared" si="6"/>
        <v>3385558.5700000003</v>
      </c>
      <c r="O212" s="21">
        <f t="shared" si="7"/>
        <v>0.1949852957471325</v>
      </c>
      <c r="P212" s="22"/>
    </row>
    <row r="213" spans="1:16" s="23" customFormat="1" ht="11.25" customHeight="1" outlineLevel="2">
      <c r="A213" s="26" t="s">
        <v>16</v>
      </c>
      <c r="B213" s="20">
        <v>50000</v>
      </c>
      <c r="C213" s="20">
        <v>50000</v>
      </c>
      <c r="D213" s="27"/>
      <c r="E213" s="20">
        <v>50000</v>
      </c>
      <c r="F213" s="20">
        <v>50000</v>
      </c>
      <c r="G213" s="27"/>
      <c r="H213" s="20">
        <v>49795</v>
      </c>
      <c r="I213" s="20">
        <v>18955</v>
      </c>
      <c r="J213" s="25">
        <v>205</v>
      </c>
      <c r="K213" s="25">
        <v>205</v>
      </c>
      <c r="L213" s="20">
        <f>L214</f>
        <v>49795</v>
      </c>
      <c r="M213" s="20"/>
      <c r="N213" s="20">
        <f t="shared" si="6"/>
        <v>205</v>
      </c>
      <c r="O213" s="21">
        <f t="shared" si="7"/>
        <v>0.9959</v>
      </c>
      <c r="P213" s="22"/>
    </row>
    <row r="214" spans="1:16" s="23" customFormat="1" ht="44.25" customHeight="1" outlineLevel="3">
      <c r="A214" s="28" t="s">
        <v>124</v>
      </c>
      <c r="B214" s="20">
        <v>50000</v>
      </c>
      <c r="C214" s="20">
        <v>50000</v>
      </c>
      <c r="D214" s="27"/>
      <c r="E214" s="20">
        <v>50000</v>
      </c>
      <c r="F214" s="20">
        <v>50000</v>
      </c>
      <c r="G214" s="27"/>
      <c r="H214" s="20">
        <v>49795</v>
      </c>
      <c r="I214" s="20">
        <v>18955</v>
      </c>
      <c r="J214" s="25">
        <v>205</v>
      </c>
      <c r="K214" s="25">
        <v>205</v>
      </c>
      <c r="L214" s="20">
        <v>49795</v>
      </c>
      <c r="M214" s="20"/>
      <c r="N214" s="20">
        <f t="shared" si="6"/>
        <v>205</v>
      </c>
      <c r="O214" s="21">
        <f t="shared" si="7"/>
        <v>0.9959</v>
      </c>
      <c r="P214" s="52" t="s">
        <v>164</v>
      </c>
    </row>
    <row r="215" spans="1:16" s="23" customFormat="1" ht="11.25" customHeight="1" outlineLevel="2">
      <c r="A215" s="26" t="s">
        <v>17</v>
      </c>
      <c r="B215" s="20">
        <v>450000</v>
      </c>
      <c r="C215" s="20">
        <v>450000</v>
      </c>
      <c r="D215" s="20">
        <v>2995</v>
      </c>
      <c r="E215" s="20">
        <v>790000</v>
      </c>
      <c r="F215" s="20">
        <v>790000</v>
      </c>
      <c r="G215" s="27"/>
      <c r="H215" s="20">
        <v>361544.06</v>
      </c>
      <c r="I215" s="20">
        <v>248325.06</v>
      </c>
      <c r="J215" s="20">
        <v>428455.94</v>
      </c>
      <c r="K215" s="20">
        <v>428455.94</v>
      </c>
      <c r="L215" s="20">
        <f>SUM(L216:L221)</f>
        <v>270972.86</v>
      </c>
      <c r="M215" s="20">
        <f>SUM(M216:M221)</f>
        <v>0</v>
      </c>
      <c r="N215" s="20">
        <f t="shared" si="6"/>
        <v>519027.14</v>
      </c>
      <c r="O215" s="21">
        <f t="shared" si="7"/>
        <v>0.34300362025316455</v>
      </c>
      <c r="P215" s="22"/>
    </row>
    <row r="216" spans="1:16" s="23" customFormat="1" ht="32.25" customHeight="1" outlineLevel="3">
      <c r="A216" s="28" t="s">
        <v>125</v>
      </c>
      <c r="B216" s="27"/>
      <c r="C216" s="27"/>
      <c r="D216" s="27"/>
      <c r="E216" s="20">
        <v>400000</v>
      </c>
      <c r="F216" s="20">
        <v>400000</v>
      </c>
      <c r="G216" s="27"/>
      <c r="H216" s="27"/>
      <c r="I216" s="27"/>
      <c r="J216" s="20">
        <v>400000</v>
      </c>
      <c r="K216" s="20">
        <v>400000</v>
      </c>
      <c r="L216" s="20">
        <v>0</v>
      </c>
      <c r="M216" s="20"/>
      <c r="N216" s="20">
        <f t="shared" si="6"/>
        <v>400000</v>
      </c>
      <c r="O216" s="21">
        <f t="shared" si="7"/>
        <v>0</v>
      </c>
      <c r="P216" s="22" t="s">
        <v>165</v>
      </c>
    </row>
    <row r="217" spans="1:16" s="23" customFormat="1" ht="44.25" customHeight="1" outlineLevel="3">
      <c r="A217" s="28" t="s">
        <v>126</v>
      </c>
      <c r="B217" s="27"/>
      <c r="C217" s="27"/>
      <c r="D217" s="27"/>
      <c r="E217" s="20">
        <v>50000</v>
      </c>
      <c r="F217" s="20">
        <v>50000</v>
      </c>
      <c r="G217" s="27"/>
      <c r="H217" s="20">
        <v>22827.6</v>
      </c>
      <c r="I217" s="20">
        <v>9399.6</v>
      </c>
      <c r="J217" s="20">
        <v>27172.4</v>
      </c>
      <c r="K217" s="20">
        <v>27172.4</v>
      </c>
      <c r="L217" s="20">
        <v>13428</v>
      </c>
      <c r="M217" s="20"/>
      <c r="N217" s="20">
        <f t="shared" si="6"/>
        <v>36572</v>
      </c>
      <c r="O217" s="21">
        <f t="shared" si="7"/>
        <v>0.26856</v>
      </c>
      <c r="P217" s="22" t="s">
        <v>166</v>
      </c>
    </row>
    <row r="218" spans="1:16" s="23" customFormat="1" ht="21.75" customHeight="1" outlineLevel="3">
      <c r="A218" s="28" t="s">
        <v>127</v>
      </c>
      <c r="B218" s="20">
        <v>100000</v>
      </c>
      <c r="C218" s="20">
        <v>100000</v>
      </c>
      <c r="D218" s="20">
        <v>2995</v>
      </c>
      <c r="E218" s="27"/>
      <c r="F218" s="27"/>
      <c r="G218" s="27"/>
      <c r="H218" s="27"/>
      <c r="I218" s="27"/>
      <c r="J218" s="27"/>
      <c r="K218" s="27"/>
      <c r="L218" s="20">
        <v>0</v>
      </c>
      <c r="M218" s="20"/>
      <c r="N218" s="20">
        <f t="shared" si="6"/>
        <v>0</v>
      </c>
      <c r="O218" s="21">
        <v>0</v>
      </c>
      <c r="P218" s="22"/>
    </row>
    <row r="219" spans="1:16" s="23" customFormat="1" ht="21.75" customHeight="1" outlineLevel="3">
      <c r="A219" s="28" t="s">
        <v>128</v>
      </c>
      <c r="B219" s="20">
        <v>50000</v>
      </c>
      <c r="C219" s="20">
        <v>50000</v>
      </c>
      <c r="D219" s="27"/>
      <c r="E219" s="27"/>
      <c r="F219" s="27"/>
      <c r="G219" s="27"/>
      <c r="H219" s="27"/>
      <c r="I219" s="27"/>
      <c r="J219" s="27"/>
      <c r="K219" s="27"/>
      <c r="L219" s="20">
        <v>0</v>
      </c>
      <c r="M219" s="20"/>
      <c r="N219" s="20">
        <f t="shared" si="6"/>
        <v>0</v>
      </c>
      <c r="O219" s="21">
        <v>0</v>
      </c>
      <c r="P219" s="22"/>
    </row>
    <row r="220" spans="1:16" s="23" customFormat="1" ht="57.75" customHeight="1" outlineLevel="3">
      <c r="A220" s="28" t="s">
        <v>129</v>
      </c>
      <c r="B220" s="20">
        <v>100000</v>
      </c>
      <c r="C220" s="20">
        <v>100000</v>
      </c>
      <c r="D220" s="27"/>
      <c r="E220" s="20">
        <v>140000</v>
      </c>
      <c r="F220" s="20">
        <v>140000</v>
      </c>
      <c r="G220" s="27"/>
      <c r="H220" s="20">
        <v>139317</v>
      </c>
      <c r="I220" s="20">
        <v>39526</v>
      </c>
      <c r="J220" s="25">
        <v>683</v>
      </c>
      <c r="K220" s="25">
        <v>683</v>
      </c>
      <c r="L220" s="20">
        <f>39526+99791</f>
        <v>139317</v>
      </c>
      <c r="M220" s="20"/>
      <c r="N220" s="20">
        <f t="shared" si="6"/>
        <v>683</v>
      </c>
      <c r="O220" s="21">
        <f t="shared" si="7"/>
        <v>0.9951214285714286</v>
      </c>
      <c r="P220" s="22" t="s">
        <v>167</v>
      </c>
    </row>
    <row r="221" spans="1:16" s="23" customFormat="1" ht="67.5" customHeight="1" outlineLevel="3">
      <c r="A221" s="28" t="s">
        <v>130</v>
      </c>
      <c r="B221" s="20">
        <v>200000</v>
      </c>
      <c r="C221" s="20">
        <v>200000</v>
      </c>
      <c r="D221" s="27"/>
      <c r="E221" s="20">
        <v>200000</v>
      </c>
      <c r="F221" s="20">
        <v>200000</v>
      </c>
      <c r="G221" s="27"/>
      <c r="H221" s="20">
        <v>199399.46</v>
      </c>
      <c r="I221" s="20">
        <v>199399.46</v>
      </c>
      <c r="J221" s="25">
        <v>600.54</v>
      </c>
      <c r="K221" s="25">
        <v>600.54</v>
      </c>
      <c r="L221" s="20">
        <f>4626+24810+88791.86</f>
        <v>118227.86</v>
      </c>
      <c r="M221" s="20"/>
      <c r="N221" s="20">
        <f t="shared" si="6"/>
        <v>81772.14</v>
      </c>
      <c r="O221" s="21">
        <f t="shared" si="7"/>
        <v>0.5911393</v>
      </c>
      <c r="P221" s="22" t="s">
        <v>168</v>
      </c>
    </row>
    <row r="222" spans="1:16" s="23" customFormat="1" ht="21.75" customHeight="1" outlineLevel="2">
      <c r="A222" s="26" t="s">
        <v>43</v>
      </c>
      <c r="B222" s="20">
        <v>270000</v>
      </c>
      <c r="C222" s="20">
        <v>270000</v>
      </c>
      <c r="D222" s="27"/>
      <c r="E222" s="20">
        <v>330000</v>
      </c>
      <c r="F222" s="20">
        <v>330000</v>
      </c>
      <c r="G222" s="27"/>
      <c r="H222" s="20">
        <v>329996</v>
      </c>
      <c r="I222" s="20">
        <v>68407.25</v>
      </c>
      <c r="J222" s="25">
        <v>4</v>
      </c>
      <c r="K222" s="25">
        <v>4</v>
      </c>
      <c r="L222" s="20">
        <f>SUM(L223:L224)</f>
        <v>317988.75</v>
      </c>
      <c r="M222" s="20"/>
      <c r="N222" s="20">
        <f aca="true" t="shared" si="8" ref="N222:N237">E222-L222</f>
        <v>12011.25</v>
      </c>
      <c r="O222" s="21">
        <f t="shared" si="7"/>
        <v>0.9636022727272727</v>
      </c>
      <c r="P222" s="22"/>
    </row>
    <row r="223" spans="1:16" s="23" customFormat="1" ht="56.25" customHeight="1" outlineLevel="3">
      <c r="A223" s="28" t="s">
        <v>131</v>
      </c>
      <c r="B223" s="20">
        <v>220000</v>
      </c>
      <c r="C223" s="20">
        <v>220000</v>
      </c>
      <c r="D223" s="27"/>
      <c r="E223" s="20">
        <v>280000</v>
      </c>
      <c r="F223" s="20">
        <v>280000</v>
      </c>
      <c r="G223" s="27"/>
      <c r="H223" s="20">
        <v>280000</v>
      </c>
      <c r="I223" s="20">
        <v>68407.25</v>
      </c>
      <c r="J223" s="27"/>
      <c r="K223" s="27"/>
      <c r="L223" s="20">
        <f>37900+75000+16593.75+18500+70000+49999</f>
        <v>267992.75</v>
      </c>
      <c r="M223" s="20"/>
      <c r="N223" s="20">
        <f t="shared" si="8"/>
        <v>12007.25</v>
      </c>
      <c r="O223" s="21">
        <f t="shared" si="7"/>
        <v>0.9571169642857142</v>
      </c>
      <c r="P223" s="22" t="s">
        <v>169</v>
      </c>
    </row>
    <row r="224" spans="1:16" s="23" customFormat="1" ht="45" customHeight="1" outlineLevel="3">
      <c r="A224" s="28" t="s">
        <v>132</v>
      </c>
      <c r="B224" s="20">
        <v>50000</v>
      </c>
      <c r="C224" s="20">
        <v>50000</v>
      </c>
      <c r="D224" s="27"/>
      <c r="E224" s="20">
        <v>50000</v>
      </c>
      <c r="F224" s="20">
        <v>50000</v>
      </c>
      <c r="G224" s="27"/>
      <c r="H224" s="20">
        <v>49996</v>
      </c>
      <c r="I224" s="27"/>
      <c r="J224" s="25">
        <v>4</v>
      </c>
      <c r="K224" s="25">
        <v>4</v>
      </c>
      <c r="L224" s="20">
        <f>49996</f>
        <v>49996</v>
      </c>
      <c r="M224" s="20"/>
      <c r="N224" s="20">
        <f t="shared" si="8"/>
        <v>4</v>
      </c>
      <c r="O224" s="21">
        <f t="shared" si="7"/>
        <v>0.99992</v>
      </c>
      <c r="P224" s="22"/>
    </row>
    <row r="225" spans="1:16" s="23" customFormat="1" ht="11.25" customHeight="1" outlineLevel="2">
      <c r="A225" s="26" t="s">
        <v>23</v>
      </c>
      <c r="B225" s="20">
        <v>150000</v>
      </c>
      <c r="C225" s="20">
        <v>150000</v>
      </c>
      <c r="D225" s="20">
        <v>15550</v>
      </c>
      <c r="E225" s="20">
        <v>150000</v>
      </c>
      <c r="F225" s="20">
        <v>150000</v>
      </c>
      <c r="G225" s="20">
        <v>15550</v>
      </c>
      <c r="H225" s="20">
        <v>150000</v>
      </c>
      <c r="I225" s="20">
        <v>150000</v>
      </c>
      <c r="J225" s="27"/>
      <c r="K225" s="27"/>
      <c r="L225" s="20">
        <f>L226</f>
        <v>150000</v>
      </c>
      <c r="M225" s="20">
        <v>964.63</v>
      </c>
      <c r="N225" s="20">
        <f t="shared" si="8"/>
        <v>0</v>
      </c>
      <c r="O225" s="21">
        <f t="shared" si="7"/>
        <v>1</v>
      </c>
      <c r="P225" s="22"/>
    </row>
    <row r="226" spans="1:16" s="23" customFormat="1" ht="11.25" customHeight="1" outlineLevel="3">
      <c r="A226" s="28" t="s">
        <v>133</v>
      </c>
      <c r="B226" s="20">
        <v>150000</v>
      </c>
      <c r="C226" s="20">
        <v>150000</v>
      </c>
      <c r="D226" s="20">
        <v>15550</v>
      </c>
      <c r="E226" s="20">
        <v>150000</v>
      </c>
      <c r="F226" s="20">
        <v>150000</v>
      </c>
      <c r="G226" s="20">
        <v>15550</v>
      </c>
      <c r="H226" s="20">
        <v>150000</v>
      </c>
      <c r="I226" s="20">
        <v>150000</v>
      </c>
      <c r="J226" s="27"/>
      <c r="K226" s="27"/>
      <c r="L226" s="20">
        <v>150000</v>
      </c>
      <c r="M226" s="20">
        <v>964.63</v>
      </c>
      <c r="N226" s="20">
        <f t="shared" si="8"/>
        <v>0</v>
      </c>
      <c r="O226" s="21">
        <f t="shared" si="7"/>
        <v>1</v>
      </c>
      <c r="P226" s="22"/>
    </row>
    <row r="227" spans="1:16" s="23" customFormat="1" ht="11.25" customHeight="1" outlineLevel="2">
      <c r="A227" s="26" t="s">
        <v>70</v>
      </c>
      <c r="B227" s="27"/>
      <c r="C227" s="27"/>
      <c r="D227" s="27"/>
      <c r="E227" s="20">
        <v>2885586</v>
      </c>
      <c r="F227" s="20">
        <v>2885586</v>
      </c>
      <c r="G227" s="20">
        <v>2995</v>
      </c>
      <c r="H227" s="20">
        <v>625998.53</v>
      </c>
      <c r="I227" s="20">
        <v>605192.91</v>
      </c>
      <c r="J227" s="20">
        <v>2259587.47</v>
      </c>
      <c r="K227" s="20">
        <v>2259587.47</v>
      </c>
      <c r="L227" s="20">
        <f>SUM(L228:L231)</f>
        <v>31270.82</v>
      </c>
      <c r="M227" s="20">
        <f>SUM(M228:M231)</f>
        <v>0</v>
      </c>
      <c r="N227" s="20">
        <f t="shared" si="8"/>
        <v>2854315.18</v>
      </c>
      <c r="O227" s="21">
        <f t="shared" si="7"/>
        <v>0.010836904531696508</v>
      </c>
      <c r="P227" s="22"/>
    </row>
    <row r="228" spans="1:16" s="23" customFormat="1" ht="61.5" customHeight="1" outlineLevel="3">
      <c r="A228" s="28" t="s">
        <v>134</v>
      </c>
      <c r="B228" s="27"/>
      <c r="C228" s="27"/>
      <c r="D228" s="27"/>
      <c r="E228" s="20">
        <v>300000</v>
      </c>
      <c r="F228" s="20">
        <v>300000</v>
      </c>
      <c r="G228" s="27"/>
      <c r="H228" s="20">
        <v>300000</v>
      </c>
      <c r="I228" s="20">
        <v>300000</v>
      </c>
      <c r="J228" s="27"/>
      <c r="K228" s="27"/>
      <c r="L228" s="20">
        <v>0</v>
      </c>
      <c r="M228" s="20"/>
      <c r="N228" s="20">
        <f t="shared" si="8"/>
        <v>300000</v>
      </c>
      <c r="O228" s="21">
        <f t="shared" si="7"/>
        <v>0</v>
      </c>
      <c r="P228" s="22" t="s">
        <v>170</v>
      </c>
    </row>
    <row r="229" spans="1:16" s="23" customFormat="1" ht="53.25" customHeight="1" outlineLevel="3">
      <c r="A229" s="28" t="s">
        <v>135</v>
      </c>
      <c r="B229" s="27"/>
      <c r="C229" s="27"/>
      <c r="D229" s="27"/>
      <c r="E229" s="20">
        <v>15000</v>
      </c>
      <c r="F229" s="20">
        <v>15000</v>
      </c>
      <c r="G229" s="27"/>
      <c r="H229" s="20">
        <v>14933</v>
      </c>
      <c r="I229" s="27"/>
      <c r="J229" s="25">
        <v>67</v>
      </c>
      <c r="K229" s="25">
        <v>67</v>
      </c>
      <c r="L229" s="20">
        <f>14933</f>
        <v>14933</v>
      </c>
      <c r="M229" s="20"/>
      <c r="N229" s="20">
        <f t="shared" si="8"/>
        <v>67</v>
      </c>
      <c r="O229" s="21">
        <f t="shared" si="7"/>
        <v>0.9955333333333334</v>
      </c>
      <c r="P229" s="22" t="s">
        <v>166</v>
      </c>
    </row>
    <row r="230" spans="1:16" s="23" customFormat="1" ht="46.5" customHeight="1" outlineLevel="3">
      <c r="A230" s="28" t="s">
        <v>136</v>
      </c>
      <c r="B230" s="27"/>
      <c r="C230" s="27"/>
      <c r="D230" s="27"/>
      <c r="E230" s="20">
        <v>100000</v>
      </c>
      <c r="F230" s="20">
        <v>100000</v>
      </c>
      <c r="G230" s="20">
        <v>2995</v>
      </c>
      <c r="H230" s="27"/>
      <c r="I230" s="27"/>
      <c r="J230" s="20">
        <v>100000</v>
      </c>
      <c r="K230" s="20">
        <v>100000</v>
      </c>
      <c r="L230" s="20">
        <f>6156</f>
        <v>6156</v>
      </c>
      <c r="M230" s="20"/>
      <c r="N230" s="20">
        <f t="shared" si="8"/>
        <v>93844</v>
      </c>
      <c r="O230" s="21">
        <f t="shared" si="7"/>
        <v>0.06156</v>
      </c>
      <c r="P230" s="22" t="s">
        <v>171</v>
      </c>
    </row>
    <row r="231" spans="1:16" s="23" customFormat="1" ht="46.5" customHeight="1" outlineLevel="3">
      <c r="A231" s="28" t="s">
        <v>137</v>
      </c>
      <c r="B231" s="27"/>
      <c r="C231" s="27"/>
      <c r="D231" s="27"/>
      <c r="E231" s="20">
        <v>2470586</v>
      </c>
      <c r="F231" s="20">
        <v>2470586</v>
      </c>
      <c r="G231" s="27"/>
      <c r="H231" s="20">
        <v>311065.53</v>
      </c>
      <c r="I231" s="20">
        <v>305192.91</v>
      </c>
      <c r="J231" s="20">
        <v>2159520.47</v>
      </c>
      <c r="K231" s="20">
        <v>2159520.47</v>
      </c>
      <c r="L231" s="20">
        <f>4309.2+5872.62</f>
        <v>10181.82</v>
      </c>
      <c r="M231" s="20"/>
      <c r="N231" s="20">
        <f t="shared" si="8"/>
        <v>2460404.18</v>
      </c>
      <c r="O231" s="21">
        <f t="shared" si="7"/>
        <v>0.004121216585862625</v>
      </c>
      <c r="P231" s="22" t="s">
        <v>172</v>
      </c>
    </row>
    <row r="232" spans="1:16" s="23" customFormat="1" ht="11.25" customHeight="1" outlineLevel="1">
      <c r="A232" s="24" t="s">
        <v>162</v>
      </c>
      <c r="B232" s="27"/>
      <c r="C232" s="27"/>
      <c r="D232" s="27"/>
      <c r="E232" s="20">
        <v>20000000</v>
      </c>
      <c r="F232" s="20">
        <v>20000000</v>
      </c>
      <c r="G232" s="27"/>
      <c r="H232" s="20">
        <v>20000000</v>
      </c>
      <c r="I232" s="27"/>
      <c r="J232" s="27"/>
      <c r="K232" s="27"/>
      <c r="L232" s="20">
        <f>L233</f>
        <v>20000000</v>
      </c>
      <c r="M232" s="20"/>
      <c r="N232" s="20">
        <f t="shared" si="8"/>
        <v>0</v>
      </c>
      <c r="O232" s="21">
        <f t="shared" si="7"/>
        <v>1</v>
      </c>
      <c r="P232" s="22"/>
    </row>
    <row r="233" spans="1:16" s="23" customFormat="1" ht="11.25" customHeight="1" outlineLevel="2">
      <c r="A233" s="26" t="s">
        <v>138</v>
      </c>
      <c r="B233" s="27"/>
      <c r="C233" s="27"/>
      <c r="D233" s="27"/>
      <c r="E233" s="20">
        <v>20000000</v>
      </c>
      <c r="F233" s="20">
        <v>20000000</v>
      </c>
      <c r="G233" s="27"/>
      <c r="H233" s="20">
        <v>20000000</v>
      </c>
      <c r="I233" s="27"/>
      <c r="J233" s="27"/>
      <c r="K233" s="27"/>
      <c r="L233" s="20">
        <f>L234</f>
        <v>20000000</v>
      </c>
      <c r="M233" s="20"/>
      <c r="N233" s="20">
        <f t="shared" si="8"/>
        <v>0</v>
      </c>
      <c r="O233" s="21">
        <f t="shared" si="7"/>
        <v>1</v>
      </c>
      <c r="P233" s="22"/>
    </row>
    <row r="234" spans="1:16" s="23" customFormat="1" ht="56.25" customHeight="1" outlineLevel="3">
      <c r="A234" s="28" t="s">
        <v>139</v>
      </c>
      <c r="B234" s="27"/>
      <c r="C234" s="27"/>
      <c r="D234" s="27"/>
      <c r="E234" s="20">
        <v>20000000</v>
      </c>
      <c r="F234" s="20">
        <v>20000000</v>
      </c>
      <c r="G234" s="27"/>
      <c r="H234" s="20">
        <v>20000000</v>
      </c>
      <c r="I234" s="27"/>
      <c r="J234" s="27"/>
      <c r="K234" s="27"/>
      <c r="L234" s="20">
        <v>20000000</v>
      </c>
      <c r="M234" s="20"/>
      <c r="N234" s="20">
        <f t="shared" si="8"/>
        <v>0</v>
      </c>
      <c r="O234" s="21">
        <f t="shared" si="7"/>
        <v>1</v>
      </c>
      <c r="P234" s="22"/>
    </row>
    <row r="235" spans="1:16" s="23" customFormat="1" ht="11.25" customHeight="1" outlineLevel="1">
      <c r="A235" s="24" t="s">
        <v>163</v>
      </c>
      <c r="B235" s="27"/>
      <c r="C235" s="27"/>
      <c r="D235" s="27"/>
      <c r="E235" s="20">
        <v>1000000</v>
      </c>
      <c r="F235" s="20">
        <v>1000000</v>
      </c>
      <c r="G235" s="27"/>
      <c r="H235" s="20">
        <v>499999.4</v>
      </c>
      <c r="I235" s="20">
        <v>345071.4</v>
      </c>
      <c r="J235" s="20">
        <v>500000.6</v>
      </c>
      <c r="K235" s="20">
        <v>500000.6</v>
      </c>
      <c r="L235" s="20">
        <f>L236</f>
        <v>211664.4</v>
      </c>
      <c r="M235" s="20"/>
      <c r="N235" s="20">
        <f t="shared" si="8"/>
        <v>788335.6</v>
      </c>
      <c r="O235" s="21">
        <f t="shared" si="7"/>
        <v>0.2116644</v>
      </c>
      <c r="P235" s="22"/>
    </row>
    <row r="236" spans="1:16" s="23" customFormat="1" ht="11.25" customHeight="1" outlineLevel="2">
      <c r="A236" s="26" t="s">
        <v>22</v>
      </c>
      <c r="B236" s="27"/>
      <c r="C236" s="27"/>
      <c r="D236" s="27"/>
      <c r="E236" s="20">
        <v>1000000</v>
      </c>
      <c r="F236" s="20">
        <v>1000000</v>
      </c>
      <c r="G236" s="27"/>
      <c r="H236" s="20">
        <v>499999.4</v>
      </c>
      <c r="I236" s="20">
        <v>345071.4</v>
      </c>
      <c r="J236" s="20">
        <v>500000.6</v>
      </c>
      <c r="K236" s="20">
        <v>500000.6</v>
      </c>
      <c r="L236" s="20">
        <f>L237</f>
        <v>211664.4</v>
      </c>
      <c r="M236" s="20"/>
      <c r="N236" s="20">
        <f t="shared" si="8"/>
        <v>788335.6</v>
      </c>
      <c r="O236" s="21">
        <f t="shared" si="7"/>
        <v>0.2116644</v>
      </c>
      <c r="P236" s="22"/>
    </row>
    <row r="237" spans="1:16" s="23" customFormat="1" ht="168" customHeight="1" outlineLevel="3">
      <c r="A237" s="28" t="s">
        <v>140</v>
      </c>
      <c r="B237" s="27"/>
      <c r="C237" s="27"/>
      <c r="D237" s="27"/>
      <c r="E237" s="20">
        <v>1000000</v>
      </c>
      <c r="F237" s="20">
        <v>1000000</v>
      </c>
      <c r="G237" s="27"/>
      <c r="H237" s="20">
        <v>499999.4</v>
      </c>
      <c r="I237" s="20">
        <v>345071.4</v>
      </c>
      <c r="J237" s="20">
        <v>500000.6</v>
      </c>
      <c r="K237" s="20">
        <v>500000.6</v>
      </c>
      <c r="L237" s="20">
        <v>211664.4</v>
      </c>
      <c r="M237" s="20"/>
      <c r="N237" s="20">
        <f t="shared" si="8"/>
        <v>788335.6</v>
      </c>
      <c r="O237" s="21">
        <f t="shared" si="7"/>
        <v>0.2116644</v>
      </c>
      <c r="P237" s="22" t="s">
        <v>185</v>
      </c>
    </row>
  </sheetData>
  <sheetProtection/>
  <mergeCells count="2">
    <mergeCell ref="P7:P9"/>
    <mergeCell ref="A2:P2"/>
  </mergeCells>
  <printOptions/>
  <pageMargins left="0.1968503937007874" right="0.1968503937007874" top="0.1968503937007874" bottom="0.1968503937007874" header="0.3937007874015748" footer="0.3937007874015748"/>
  <pageSetup fitToHeight="12" fitToWidth="1" horizontalDpi="600" verticalDpi="600" orientation="landscape" pageOrder="overThenDown" paperSize="9" scale="8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Наталья Нагрибальная</dc:creator>
  <cp:keywords/>
  <dc:description/>
  <cp:lastModifiedBy>user</cp:lastModifiedBy>
  <cp:lastPrinted>2018-02-06T12:06:23Z</cp:lastPrinted>
  <dcterms:created xsi:type="dcterms:W3CDTF">2018-01-11T08:32:52Z</dcterms:created>
  <dcterms:modified xsi:type="dcterms:W3CDTF">2018-02-21T06:39:53Z</dcterms:modified>
  <cp:category/>
  <cp:version/>
  <cp:contentType/>
  <cp:contentStatus/>
  <cp:revision>1</cp:revision>
</cp:coreProperties>
</file>